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bigniew\Desktop\Uchwała PGN wraz z załącznikami\"/>
    </mc:Choice>
  </mc:AlternateContent>
  <bookViews>
    <workbookView xWindow="0" yWindow="0" windowWidth="24000" windowHeight="9735" tabRatio="915" activeTab="6"/>
  </bookViews>
  <sheets>
    <sheet name="Struktura" sheetId="2" r:id="rId1"/>
    <sheet name="Wskaźniki emisji" sheetId="11" r:id="rId2"/>
    <sheet name="Samorząd emisja" sheetId="5" r:id="rId3"/>
    <sheet name="Społeczeństwo emisja" sheetId="6" r:id="rId4"/>
    <sheet name="Gmina emisja" sheetId="7" r:id="rId5"/>
    <sheet name="Plan działań" sheetId="12" r:id="rId6"/>
    <sheet name="Harmonogram uzg. z UG " sheetId="17" r:id="rId7"/>
    <sheet name="Weryfikacja harmonogramu" sheetId="15" r:id="rId8"/>
    <sheet name="Ludność" sheetId="9" r:id="rId9"/>
    <sheet name="Spis tabel" sheetId="16" r:id="rId10"/>
  </sheets>
  <calcPr calcId="152511"/>
</workbook>
</file>

<file path=xl/calcChain.xml><?xml version="1.0" encoding="utf-8"?>
<calcChain xmlns="http://schemas.openxmlformats.org/spreadsheetml/2006/main">
  <c r="E86" i="12" l="1"/>
  <c r="E91" i="12" l="1"/>
  <c r="C92" i="12"/>
  <c r="D91" i="12"/>
  <c r="C91" i="12"/>
  <c r="G38" i="6" l="1"/>
  <c r="F75" i="12"/>
  <c r="H24" i="17"/>
  <c r="H44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29" i="17"/>
  <c r="H28" i="17"/>
  <c r="H27" i="17"/>
  <c r="H23" i="17"/>
  <c r="H25" i="17"/>
  <c r="H26" i="17"/>
  <c r="H22" i="17"/>
  <c r="H20" i="17"/>
  <c r="H21" i="17"/>
  <c r="H19" i="17"/>
  <c r="H18" i="17"/>
  <c r="H14" i="17"/>
  <c r="H15" i="17"/>
  <c r="H16" i="17"/>
  <c r="H17" i="17"/>
  <c r="H13" i="17"/>
  <c r="H12" i="17"/>
  <c r="H11" i="17"/>
  <c r="H10" i="17"/>
  <c r="H9" i="17"/>
  <c r="H8" i="17"/>
  <c r="H7" i="17"/>
  <c r="H46" i="17" l="1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E46" i="17"/>
  <c r="F46" i="17"/>
  <c r="E75" i="12"/>
  <c r="E74" i="12" s="1"/>
  <c r="G28" i="17"/>
  <c r="G18" i="17"/>
  <c r="G27" i="17"/>
  <c r="G13" i="17"/>
  <c r="G46" i="17" s="1"/>
  <c r="D32" i="12" l="1"/>
  <c r="D34" i="12" s="1"/>
  <c r="F22" i="6"/>
  <c r="F21" i="5"/>
  <c r="F20" i="5"/>
  <c r="F19" i="5"/>
  <c r="F18" i="5"/>
  <c r="F14" i="5"/>
  <c r="F13" i="5"/>
  <c r="F12" i="5"/>
  <c r="F11" i="5"/>
  <c r="F77" i="12" l="1"/>
  <c r="C38" i="2"/>
  <c r="G50" i="5" l="1"/>
  <c r="E50" i="5" s="1"/>
  <c r="H43" i="6" l="1"/>
  <c r="K43" i="6" s="1"/>
  <c r="H47" i="6"/>
  <c r="K47" i="6" s="1"/>
  <c r="F21" i="6"/>
  <c r="G59" i="6"/>
  <c r="H59" i="6" s="1"/>
  <c r="G58" i="6"/>
  <c r="H58" i="6" s="1"/>
  <c r="H46" i="6"/>
  <c r="K46" i="6" s="1"/>
  <c r="G61" i="6"/>
  <c r="E61" i="6" s="1"/>
  <c r="H61" i="6"/>
  <c r="E15" i="6"/>
  <c r="F18" i="6"/>
  <c r="F109" i="5"/>
  <c r="F96" i="5"/>
  <c r="F85" i="5"/>
  <c r="F84" i="5"/>
  <c r="H59" i="5"/>
  <c r="G60" i="5"/>
  <c r="H60" i="5" s="1"/>
  <c r="G58" i="5"/>
  <c r="E58" i="5"/>
  <c r="E57" i="5"/>
  <c r="H54" i="5"/>
  <c r="G54" i="5"/>
  <c r="H50" i="5"/>
  <c r="G47" i="5"/>
  <c r="H47" i="5" s="1"/>
  <c r="G41" i="5"/>
  <c r="G44" i="5"/>
  <c r="G57" i="5" s="1"/>
  <c r="G37" i="5"/>
  <c r="E37" i="5" s="1"/>
  <c r="E85" i="5"/>
  <c r="E84" i="5"/>
  <c r="H45" i="6" l="1"/>
  <c r="K45" i="6" s="1"/>
  <c r="G48" i="6"/>
  <c r="F15" i="6"/>
  <c r="F14" i="6"/>
  <c r="F15" i="5"/>
  <c r="F16" i="5" s="1"/>
  <c r="G13" i="5" s="1"/>
  <c r="F22" i="5"/>
  <c r="H37" i="5"/>
  <c r="E96" i="5"/>
  <c r="H44" i="5"/>
  <c r="H41" i="5"/>
  <c r="F80" i="6"/>
  <c r="H51" i="6"/>
  <c r="F20" i="6"/>
  <c r="E51" i="6"/>
  <c r="E13" i="6"/>
  <c r="G51" i="6"/>
  <c r="E20" i="6"/>
  <c r="E91" i="6"/>
  <c r="F91" i="6"/>
  <c r="D9" i="9"/>
  <c r="C131" i="2"/>
  <c r="C112" i="2"/>
  <c r="C77" i="2"/>
  <c r="C60" i="2"/>
  <c r="C42" i="2"/>
  <c r="C14" i="2"/>
  <c r="F13" i="6" l="1"/>
  <c r="F104" i="6"/>
  <c r="E10" i="7"/>
  <c r="E17" i="12" s="1"/>
  <c r="F17" i="12" s="1"/>
  <c r="G11" i="5"/>
  <c r="G14" i="5"/>
  <c r="G12" i="5"/>
  <c r="F11" i="6"/>
  <c r="E80" i="6" s="1"/>
  <c r="H48" i="6"/>
  <c r="K48" i="6" s="1"/>
  <c r="H57" i="5"/>
  <c r="H45" i="5"/>
  <c r="H48" i="5" s="1"/>
  <c r="I44" i="5" s="1"/>
  <c r="H52" i="6"/>
  <c r="E109" i="5"/>
  <c r="F83" i="5"/>
  <c r="E83" i="5"/>
  <c r="G61" i="5"/>
  <c r="G48" i="5"/>
  <c r="F23" i="5"/>
  <c r="E23" i="5"/>
  <c r="E16" i="5"/>
  <c r="E104" i="6" l="1"/>
  <c r="G18" i="5"/>
  <c r="G21" i="5"/>
  <c r="H38" i="6"/>
  <c r="E48" i="12"/>
  <c r="F48" i="12" s="1"/>
  <c r="I41" i="5"/>
  <c r="F10" i="7"/>
  <c r="E21" i="7" s="1"/>
  <c r="G20" i="5"/>
  <c r="E38" i="6"/>
  <c r="I37" i="5"/>
  <c r="I38" i="5"/>
  <c r="I40" i="5"/>
  <c r="I42" i="5"/>
  <c r="I43" i="5"/>
  <c r="I39" i="5"/>
  <c r="I46" i="5"/>
  <c r="I47" i="5"/>
  <c r="I45" i="5"/>
  <c r="H58" i="5"/>
  <c r="G15" i="5"/>
  <c r="G19" i="5"/>
  <c r="G22" i="5"/>
  <c r="K38" i="6" l="1"/>
  <c r="E22" i="7"/>
  <c r="D29" i="7" s="1"/>
  <c r="C28" i="7"/>
  <c r="I48" i="5"/>
  <c r="H61" i="5"/>
  <c r="I57" i="5" s="1"/>
  <c r="G23" i="5"/>
  <c r="G16" i="5"/>
  <c r="I54" i="5" l="1"/>
  <c r="I50" i="5"/>
  <c r="I53" i="5"/>
  <c r="I56" i="5"/>
  <c r="I51" i="5"/>
  <c r="I55" i="5"/>
  <c r="I52" i="5"/>
  <c r="I59" i="5"/>
  <c r="I60" i="5"/>
  <c r="I58" i="5"/>
  <c r="I61" i="5" l="1"/>
  <c r="E23" i="6"/>
  <c r="G57" i="6"/>
  <c r="H57" i="6" s="1"/>
  <c r="E16" i="6"/>
  <c r="E49" i="12" s="1"/>
  <c r="H55" i="6" l="1"/>
  <c r="H56" i="6"/>
  <c r="G42" i="6"/>
  <c r="E47" i="12"/>
  <c r="F49" i="12"/>
  <c r="F47" i="12" s="1"/>
  <c r="F50" i="12" s="1"/>
  <c r="E57" i="6"/>
  <c r="G62" i="6"/>
  <c r="H62" i="6" l="1"/>
  <c r="I56" i="6" s="1"/>
  <c r="G49" i="6"/>
  <c r="H42" i="6"/>
  <c r="F19" i="6"/>
  <c r="F23" i="6" s="1"/>
  <c r="G20" i="6" s="1"/>
  <c r="C53" i="12"/>
  <c r="E50" i="12"/>
  <c r="I59" i="6" l="1"/>
  <c r="I57" i="6"/>
  <c r="I52" i="6"/>
  <c r="I58" i="6"/>
  <c r="I53" i="6"/>
  <c r="I55" i="6"/>
  <c r="I51" i="6"/>
  <c r="I60" i="6"/>
  <c r="I61" i="6"/>
  <c r="I54" i="6"/>
  <c r="F12" i="6"/>
  <c r="H49" i="6"/>
  <c r="I38" i="6" s="1"/>
  <c r="K42" i="6"/>
  <c r="F81" i="6"/>
  <c r="F79" i="6" s="1"/>
  <c r="C55" i="12"/>
  <c r="C57" i="12" s="1"/>
  <c r="C41" i="12" s="1"/>
  <c r="F11" i="7"/>
  <c r="F9" i="7" s="1"/>
  <c r="G21" i="6"/>
  <c r="G22" i="6"/>
  <c r="G18" i="6"/>
  <c r="G19" i="6"/>
  <c r="F12" i="7" l="1"/>
  <c r="D92" i="12"/>
  <c r="E92" i="12" s="1"/>
  <c r="C96" i="12" s="1"/>
  <c r="C98" i="12" s="1"/>
  <c r="I62" i="6"/>
  <c r="I42" i="6"/>
  <c r="C68" i="12"/>
  <c r="E83" i="12"/>
  <c r="D83" i="12"/>
  <c r="I44" i="6"/>
  <c r="I41" i="6"/>
  <c r="I45" i="6"/>
  <c r="I43" i="6"/>
  <c r="I46" i="6"/>
  <c r="I48" i="6"/>
  <c r="I40" i="6"/>
  <c r="I47" i="6"/>
  <c r="I39" i="6"/>
  <c r="F16" i="6"/>
  <c r="E81" i="6"/>
  <c r="E79" i="6" s="1"/>
  <c r="G23" i="6"/>
  <c r="G12" i="6" l="1"/>
  <c r="G15" i="6"/>
  <c r="G13" i="6"/>
  <c r="I49" i="6"/>
  <c r="G11" i="6"/>
  <c r="G14" i="6"/>
  <c r="E11" i="7"/>
  <c r="E18" i="12" l="1"/>
  <c r="F18" i="12" s="1"/>
  <c r="E9" i="7"/>
  <c r="G16" i="6"/>
  <c r="E19" i="7" l="1"/>
  <c r="E12" i="7"/>
  <c r="E19" i="12" s="1"/>
  <c r="E16" i="12"/>
  <c r="E20" i="7" l="1"/>
  <c r="D26" i="7" s="1"/>
  <c r="C25" i="7"/>
  <c r="C30" i="12"/>
  <c r="F16" i="12"/>
  <c r="E24" i="12" l="1"/>
  <c r="C34" i="12"/>
  <c r="C32" i="12"/>
  <c r="F19" i="12"/>
</calcChain>
</file>

<file path=xl/sharedStrings.xml><?xml version="1.0" encoding="utf-8"?>
<sst xmlns="http://schemas.openxmlformats.org/spreadsheetml/2006/main" count="708" uniqueCount="332">
  <si>
    <t>Sposób ogrzewania pomieszczeń</t>
  </si>
  <si>
    <t>Rodzaj stosowanego paliwa/energii do ogrzewania pomieszczeń</t>
  </si>
  <si>
    <t>Rodzaj paliwa/energii do przygotowania ciepłej wody użytkowej</t>
  </si>
  <si>
    <t>Rodzaj paliwa/energii do przygotowania posiłków</t>
  </si>
  <si>
    <t>Zużycie energii elektrycznej [kWh/rok]</t>
  </si>
  <si>
    <t>Zużycie ciepła sieciowego [GJ/rok]</t>
  </si>
  <si>
    <t>Zużycie miału węglowego [ton/rok]</t>
  </si>
  <si>
    <t>Ocieplenie ścian zewnętrznych</t>
  </si>
  <si>
    <t>Centralne ogrzewanie c.o. (kocioł)</t>
  </si>
  <si>
    <t>Tak, budynek częściowo ocieplony</t>
  </si>
  <si>
    <t>Nie, budynek nie ocieplony</t>
  </si>
  <si>
    <t>Brak instalacji centralnego ogrzewania (kominek, piec)</t>
  </si>
  <si>
    <t>Drewno</t>
  </si>
  <si>
    <t>Energia elektryczna</t>
  </si>
  <si>
    <t>Tak, budynek dobrze ocieplony</t>
  </si>
  <si>
    <t>Eko groszek</t>
  </si>
  <si>
    <t>Centralne ogrzewanie c.o. (kocioł + dodatkowy kominek)</t>
  </si>
  <si>
    <t>Gaz ziemny</t>
  </si>
  <si>
    <t>Zużycie węgla kamiennego [ton/rok]</t>
  </si>
  <si>
    <t>Zużycie drewna/ biomasy [ton/rok]</t>
  </si>
  <si>
    <t>Ocieplenie stropu/ dachu</t>
  </si>
  <si>
    <t>Elektryczne</t>
  </si>
  <si>
    <t>Węgiel kamienny</t>
  </si>
  <si>
    <t>Propan butan</t>
  </si>
  <si>
    <t>Miał węglowy</t>
  </si>
  <si>
    <t>Panele słoneczne (OZE)</t>
  </si>
  <si>
    <t>[GJ]</t>
  </si>
  <si>
    <t>[ton]</t>
  </si>
  <si>
    <t>Wskaźniki emisji</t>
  </si>
  <si>
    <t>MWh/rok</t>
  </si>
  <si>
    <t>Całkowita emisja</t>
  </si>
  <si>
    <t>Lp.</t>
  </si>
  <si>
    <t>Źródło emisji</t>
  </si>
  <si>
    <t>Całkowita energia</t>
  </si>
  <si>
    <t>CO2 eqMg/rok</t>
  </si>
  <si>
    <t>%</t>
  </si>
  <si>
    <t>Obiekty użyteczności publicznej - energia elektryczna</t>
  </si>
  <si>
    <t>energia elektryczna</t>
  </si>
  <si>
    <t>Oświetlenie dróg i obiektów publicznych -energia elektryczna</t>
  </si>
  <si>
    <t>Ogrzewanie obiektów użyteczności publicznej</t>
  </si>
  <si>
    <t>Pojazdy użyteczności publicznej</t>
  </si>
  <si>
    <t>Składowanie odpadów</t>
  </si>
  <si>
    <t>SUMA</t>
  </si>
  <si>
    <t>Tabela 1</t>
  </si>
  <si>
    <t>Tabela 2</t>
  </si>
  <si>
    <t>Rodzaj energii/paliwa</t>
  </si>
  <si>
    <t>Jednostka</t>
  </si>
  <si>
    <t>Ciepło sieciowe</t>
  </si>
  <si>
    <t>Olej opałowy</t>
  </si>
  <si>
    <t>MWh</t>
  </si>
  <si>
    <t>Mg</t>
  </si>
  <si>
    <t>Biomasa</t>
  </si>
  <si>
    <t>Gaz płynny propan-butan (LPG)</t>
  </si>
  <si>
    <t>Olej napędowy</t>
  </si>
  <si>
    <t>Benzyna</t>
  </si>
  <si>
    <t>Odpady</t>
  </si>
  <si>
    <t>Gospodarka wodno-ściekowa</t>
  </si>
  <si>
    <t>Suma</t>
  </si>
  <si>
    <t>Zużycie/ wytworzenie</t>
  </si>
  <si>
    <t>BUDYNKI</t>
  </si>
  <si>
    <t>elektrycznej oraz przygotowanie ciepłej wody użytkowej.</t>
  </si>
  <si>
    <t>Uwzględniono budynki położone na ternie gminy, należące do gminy lub te, w których gmina ma udziały, takie jak:</t>
  </si>
  <si>
    <t>Tabela 3</t>
  </si>
  <si>
    <t xml:space="preserve">Rodzaj </t>
  </si>
  <si>
    <t>ogrzewanie budynków</t>
  </si>
  <si>
    <t>Uwaga:</t>
  </si>
  <si>
    <t>Obliczenia wykonano na podstawie zebranych danych do inwentaryzacji.</t>
  </si>
  <si>
    <t>POJAZDY</t>
  </si>
  <si>
    <t>Tabela 4</t>
  </si>
  <si>
    <t>Tabela 5</t>
  </si>
  <si>
    <t>Tabela 6</t>
  </si>
  <si>
    <t>Tabela 7</t>
  </si>
  <si>
    <t>Samorząd emisja</t>
  </si>
  <si>
    <t>Społeczeństwo emisja</t>
  </si>
  <si>
    <t>Zużycie energii elektrycznej</t>
  </si>
  <si>
    <t>Ogrzewanie obiektów</t>
  </si>
  <si>
    <t>Pojazdy - transport</t>
  </si>
  <si>
    <t>Zużycie energii elektrycznej przemysł i usługi</t>
  </si>
  <si>
    <t>BUDYNKI - mieszkalnictwo</t>
  </si>
  <si>
    <t>Handel, przemysł i usługi</t>
  </si>
  <si>
    <t>Transport</t>
  </si>
  <si>
    <t>Transport i tranzyt przez gminę</t>
  </si>
  <si>
    <t>Całkowita emisja z terenu gminy, w tym</t>
  </si>
  <si>
    <t>Emisja - grupa samorząd</t>
  </si>
  <si>
    <t>Emisja - grupa społeczeństwo</t>
  </si>
  <si>
    <t>Udział emisji samorządu w całkowitej emisji</t>
  </si>
  <si>
    <t>[%]</t>
  </si>
  <si>
    <t>Zużycie energii do ogrzewania budynków</t>
  </si>
  <si>
    <t>[MWh]</t>
  </si>
  <si>
    <t>Rok</t>
  </si>
  <si>
    <t>Ilość ludzi</t>
  </si>
  <si>
    <t>Średnia ilość ludności</t>
  </si>
  <si>
    <t>Z danych przedstawionych w powyższej tabeli wynika tendencja stabilizacji liczby ludności w gminie Bejsce</t>
  </si>
  <si>
    <t>Rok 2003</t>
  </si>
  <si>
    <t>Rok 2013</t>
  </si>
  <si>
    <t>Rodzaj nośnika energii</t>
  </si>
  <si>
    <t>Wartość opałowa</t>
  </si>
  <si>
    <t>[MJ/m3]</t>
  </si>
  <si>
    <t>[kg/GJ]</t>
  </si>
  <si>
    <t>[kg/m3]</t>
  </si>
  <si>
    <t>[Mg/MWh]</t>
  </si>
  <si>
    <t>LPG</t>
  </si>
  <si>
    <t>[MJ/kg]</t>
  </si>
  <si>
    <t>Koks</t>
  </si>
  <si>
    <t>Drewno opałowe</t>
  </si>
  <si>
    <t>-</t>
  </si>
  <si>
    <r>
      <t>Wskaźnik emisji CO</t>
    </r>
    <r>
      <rPr>
        <b/>
        <vertAlign val="subscript"/>
        <sz val="10"/>
        <color rgb="FF000000"/>
        <rFont val="Arial"/>
        <family val="2"/>
        <charset val="238"/>
      </rPr>
      <t>2</t>
    </r>
  </si>
  <si>
    <t>W tej podgrupie źródeł uwzględniono emisje wynikające z użytkowania budynków tj. ogrzewanie, zużycie energii elektrycznej oraz przygotowanie ciepłej wody użytkowej.</t>
  </si>
  <si>
    <t>W przypadku pojazdów emisja nie uległa zmianie. Podyktowane jest to modernizacją floty (nowsze samochody zużywają mniej paliwa), co jednak jest rekompensowane zwiększonym wykorzystaniem pojazdów (większy przebieg roczny).</t>
  </si>
  <si>
    <t>Porównanie zużycia energii z paliw i wielkość emisji z działalności samorządowej w roku bazowym 2003  i roku 2013</t>
  </si>
  <si>
    <t>Porównanie zużycia energii z paliw i wielkość emisji z działalności społeczeństwa w roku bazowym 2003 i roku 2013</t>
  </si>
  <si>
    <t>Mg CO2 eq</t>
  </si>
  <si>
    <t>Gmina różnica 2003/2013</t>
  </si>
  <si>
    <t>Samorząd różnica 2003/2013</t>
  </si>
  <si>
    <t>Określenie celu strategicznego na rok 2020</t>
  </si>
  <si>
    <t>Rok 2020</t>
  </si>
  <si>
    <r>
      <t>Różnica CO</t>
    </r>
    <r>
      <rPr>
        <vertAlign val="subscript"/>
        <sz val="10"/>
        <color rgb="FF000000"/>
        <rFont val="Arial"/>
        <family val="2"/>
        <charset val="238"/>
      </rPr>
      <t>2</t>
    </r>
  </si>
  <si>
    <t xml:space="preserve">Całkowita energia  </t>
  </si>
  <si>
    <t xml:space="preserve">Całkowita emisja </t>
  </si>
  <si>
    <t>*wielkość zaokrąglono do 1%</t>
  </si>
  <si>
    <t>Udział w wielkości emisji *</t>
  </si>
  <si>
    <t>Udział źródła w emisji sumarycznej *</t>
  </si>
  <si>
    <r>
      <t>Całkowita emisja z terenu Gminy – w tonach dwutlenku węgla (Mg CO</t>
    </r>
    <r>
      <rPr>
        <b/>
        <sz val="6"/>
        <color rgb="FF000000"/>
        <rFont val="Arial Narrow"/>
        <family val="2"/>
        <charset val="238"/>
      </rPr>
      <t>2eq</t>
    </r>
    <r>
      <rPr>
        <b/>
        <sz val="9"/>
        <color rgb="FF000000"/>
        <rFont val="Arial Narrow"/>
        <family val="2"/>
        <charset val="238"/>
      </rPr>
      <t>)</t>
    </r>
  </si>
  <si>
    <t>Obszar</t>
  </si>
  <si>
    <t>Zakres zadań</t>
  </si>
  <si>
    <t>Orientacyjny koszt zadania</t>
  </si>
  <si>
    <t>Proponowany termin</t>
  </si>
  <si>
    <t>[PLN]</t>
  </si>
  <si>
    <t>[MWh/rok]</t>
  </si>
  <si>
    <t>Orientacyjny efekt energetyczny</t>
  </si>
  <si>
    <t>Obiekty Gminne</t>
  </si>
  <si>
    <t>2014 - 2020</t>
  </si>
  <si>
    <t>Oświetlenie Gminne</t>
  </si>
  <si>
    <t>Modernizacja oświetlenia ulic</t>
  </si>
  <si>
    <t>Obiekty społeczeństwa</t>
  </si>
  <si>
    <t>Wymiana kotłów węglowych na ekologiczne</t>
  </si>
  <si>
    <t>Transport gminny</t>
  </si>
  <si>
    <t>Modernizacja dróg publicznych</t>
  </si>
  <si>
    <t>Promocja działań edukacyjnych w jednostkach urzędu</t>
  </si>
  <si>
    <t>Wskaźniki</t>
  </si>
  <si>
    <t>Ocena efektu na podstawie wskaźnika</t>
  </si>
  <si>
    <t>Działanie</t>
  </si>
  <si>
    <t>Ocena efektów:</t>
  </si>
  <si>
    <t xml:space="preserve"> - określenie oszczędności energii na podstawie audytu energetycznego</t>
  </si>
  <si>
    <t xml:space="preserve"> - liczba obiektów poddanych termomodernizacji</t>
  </si>
  <si>
    <t>Ocena efektów w odniesieniu rocznym:</t>
  </si>
  <si>
    <t xml:space="preserve"> - liczba zainstalowanych instalacji oze</t>
  </si>
  <si>
    <t xml:space="preserve"> - liczba wymienionych kotłów węglowych na ekologiczne</t>
  </si>
  <si>
    <t xml:space="preserve"> - określenie oszczędności energii i emisji na podstawie audytu energetycznego</t>
  </si>
  <si>
    <t xml:space="preserve"> - liczba wymienionych źródeł ciepła</t>
  </si>
  <si>
    <t>Ocena efektów energetycznych:</t>
  </si>
  <si>
    <t xml:space="preserve"> - ilość zużywanej energii elektrycznej</t>
  </si>
  <si>
    <t xml:space="preserve"> - moc jednostkowa punktów świetlnych</t>
  </si>
  <si>
    <t xml:space="preserve"> - łączna ilość zmodernizowanych dróg publicznych</t>
  </si>
  <si>
    <t>Działania edukacyjne z zakresu efektywnego wykorzystania energii</t>
  </si>
  <si>
    <t xml:space="preserve"> - liczba uczestników szkoleń i innych wydarzeń</t>
  </si>
  <si>
    <t>Tabela 8</t>
  </si>
  <si>
    <t>Tabela 9</t>
  </si>
  <si>
    <t>Tabela 10</t>
  </si>
  <si>
    <t>Tabela 11</t>
  </si>
  <si>
    <t>Tabela 12</t>
  </si>
  <si>
    <t>Tabela 13</t>
  </si>
  <si>
    <t>Tabela 14</t>
  </si>
  <si>
    <t>Tabela 15</t>
  </si>
  <si>
    <t>Tabela 16</t>
  </si>
  <si>
    <t>Tabela 17</t>
  </si>
  <si>
    <t>Ludność - Gmina BEJSCE</t>
  </si>
  <si>
    <t>Źródło: Dane GUS</t>
  </si>
  <si>
    <t>Nr tabeli</t>
  </si>
  <si>
    <t>Nazwa</t>
  </si>
  <si>
    <t>Harmonogram działań</t>
  </si>
  <si>
    <t>STRUKTURA</t>
  </si>
  <si>
    <t>Tak, strop/dach dobrze ocieplony</t>
  </si>
  <si>
    <t>Tak, strop/dach częściowo ocieplony</t>
  </si>
  <si>
    <t>Nie, strop/dach nie ocieplony</t>
  </si>
  <si>
    <t>GMINA BEJSCE</t>
  </si>
  <si>
    <t>Emisja z terenu Gminy Bejsce</t>
  </si>
  <si>
    <t>Wsparcie dla instalowania paneli fotowoltaicznych i kolektorów słonecznych w budynkach</t>
  </si>
  <si>
    <t>OZE</t>
  </si>
  <si>
    <t xml:space="preserve"> - szkoły, przedszkola, ośrodki zdrowia i poradnie, itp.,</t>
  </si>
  <si>
    <t xml:space="preserve"> - budynki będące we władaniu gminy tj. spółki gminne oraz spółki z jej udziałem (np. budynki techniczne),</t>
  </si>
  <si>
    <t xml:space="preserve"> - budynki administracyjne gminy,</t>
  </si>
  <si>
    <t xml:space="preserve"> - obiekty sportowo-rekreacyjne.</t>
  </si>
  <si>
    <r>
      <t xml:space="preserve">Stopień realizacji działania w danym roku </t>
    </r>
    <r>
      <rPr>
        <sz val="10"/>
        <color rgb="FF000000"/>
        <rFont val="Arial"/>
        <family val="2"/>
        <charset val="238"/>
      </rPr>
      <t>[%]</t>
    </r>
  </si>
  <si>
    <t>Harmonogram działań 2014-2020</t>
  </si>
  <si>
    <t>Weryfikacja harmonogramu działań</t>
  </si>
  <si>
    <t>Weryfikacja wdrażania harmonogramu</t>
  </si>
  <si>
    <r>
      <t>Całkowita emisja z terenu gminy – w tonach dwutlenku węgla (Mg CO</t>
    </r>
    <r>
      <rPr>
        <b/>
        <vertAlign val="subscript"/>
        <sz val="10"/>
        <color rgb="FF000000"/>
        <rFont val="Arial"/>
        <family val="2"/>
        <charset val="238"/>
      </rPr>
      <t>2eq</t>
    </r>
    <r>
      <rPr>
        <b/>
        <sz val="10"/>
        <color rgb="FF000000"/>
        <rFont val="Arial"/>
        <family val="2"/>
        <charset val="238"/>
      </rPr>
      <t>)/rok</t>
    </r>
  </si>
  <si>
    <r>
      <t xml:space="preserve"> [MgCO</t>
    </r>
    <r>
      <rPr>
        <sz val="6"/>
        <color rgb="FF000000"/>
        <rFont val="Arial Narrow"/>
        <family val="2"/>
        <charset val="238"/>
      </rPr>
      <t>2eq</t>
    </r>
    <r>
      <rPr>
        <sz val="11"/>
        <color rgb="FF000000"/>
        <rFont val="Arial Narrow"/>
        <family val="2"/>
        <charset val="238"/>
      </rPr>
      <t>]/rok</t>
    </r>
  </si>
  <si>
    <t>Wskaźnik Mg CO2/MWh</t>
  </si>
  <si>
    <t xml:space="preserve">[MgCO2eq]/rok </t>
  </si>
  <si>
    <t>do poziomu wynoszącego:</t>
  </si>
  <si>
    <t xml:space="preserve">a więc o wielkość równą: </t>
  </si>
  <si>
    <t>poprzez podniesienie efektywności energetycznej.</t>
  </si>
  <si>
    <t>CEL</t>
  </si>
  <si>
    <t>EFEKTYWNOŚĆ</t>
  </si>
  <si>
    <t>Całkowite zużycie energii MWh/rok</t>
  </si>
  <si>
    <t>Udział energii samorządu w całkowitym zużyciu</t>
  </si>
  <si>
    <t>Jak wynika z powyższej tabli, aby osiągnąć cel zmniejszenia zużycia energii do 2020 roku, zużycie powinno spaść z poziomu:</t>
  </si>
  <si>
    <t>do poziomu wynoszącego</t>
  </si>
  <si>
    <t>a więc obniżenie zużycia energii o wielkość:</t>
  </si>
  <si>
    <t>Finansowanie</t>
  </si>
  <si>
    <t>Realizacja termomodernizacji budynków oraz wymiana oświetlenia wewnętrznego w budynkach zarządzanych przez Gminę Bejsce</t>
  </si>
  <si>
    <t>Budynek Szkoły Podstawowej w Bejscach</t>
  </si>
  <si>
    <t>2016-2018</t>
  </si>
  <si>
    <t>RPO( Oś priorytetowa 6, Projekt inwestycyjny 9b, Działanie 6.5 Rewitalizacja obszarów miejskich i wiejskich), budżet państwa, kredyt komercyjny</t>
  </si>
  <si>
    <t>Budynek Biblioteki Publicznej w Bejscach</t>
  </si>
  <si>
    <t>Budynek Ośrodka Zrdowia w Bejscach</t>
  </si>
  <si>
    <t>1.4*</t>
  </si>
  <si>
    <t>Budynek Szkoły Podstawowej w Dobiesławicach*</t>
  </si>
  <si>
    <t>2019-2020</t>
  </si>
  <si>
    <t>Dofinansowanie RPO ( Działanie 7.4 Rozwój infrastruktury edukacyjnej i szkoleniowej), kredyt komercyjny</t>
  </si>
  <si>
    <t>1.5*</t>
  </si>
  <si>
    <t>Budynek Gimnazjum Publicznego w Czyżowicach*</t>
  </si>
  <si>
    <t>2*</t>
  </si>
  <si>
    <t>Instalacja ogniw fotowoltaicznych i kolektorów słonecznych w budynkach zarządzanych przez Gminę Bejsce*</t>
  </si>
  <si>
    <t>2.1*</t>
  </si>
  <si>
    <t>Budynek Urzędu Gminy w Bejscach*</t>
  </si>
  <si>
    <t>Dofinansowanie RPO ( Priorytet 4e Promowanie strategii niskoemisyjnych</t>
  </si>
  <si>
    <t>2.2*</t>
  </si>
  <si>
    <t>Budynek Ośrodka Zrdowia w Bejscach*</t>
  </si>
  <si>
    <t>2.3*</t>
  </si>
  <si>
    <t>2.4*</t>
  </si>
  <si>
    <t>3*</t>
  </si>
  <si>
    <t>Wymiana kotłów na ekologiczne w kotłowniach lokalnych, oraz budowa ciepłowni zasilanej biomasą( z możliwością rozbudowy o CHP) dla obiektów gminnych*</t>
  </si>
  <si>
    <t>3.1*</t>
  </si>
  <si>
    <t>Budowa ciepłowni w Bejscach*</t>
  </si>
  <si>
    <t>2017-2018</t>
  </si>
  <si>
    <t>3.2*</t>
  </si>
  <si>
    <t>Wymiana Kotła w Budynku Urzędu Gminy w Bejscach*</t>
  </si>
  <si>
    <t>3.3*</t>
  </si>
  <si>
    <t>Wymiana Kotła w Budynku Ośrodka Zdrowia w Bejscach*</t>
  </si>
  <si>
    <t>4.1</t>
  </si>
  <si>
    <t>Oświetlenie w Miejscowości Kaczkowice</t>
  </si>
  <si>
    <t>Środki własne zapisane w budżecie gminy</t>
  </si>
  <si>
    <t>4.2</t>
  </si>
  <si>
    <t xml:space="preserve">Oświetlenie w Miejscowości Morawianki </t>
  </si>
  <si>
    <t>4.3</t>
  </si>
  <si>
    <t>Oświetlenie w Miejscowości Grodowice</t>
  </si>
  <si>
    <t>4.4*</t>
  </si>
  <si>
    <t>2014-2020</t>
  </si>
  <si>
    <t>Środki własne planowane do wpisanie w budżet gminy</t>
  </si>
  <si>
    <t xml:space="preserve">Środki własne, dofinansowanie WFOŚiGW </t>
  </si>
  <si>
    <t>Środki własne, dofinansowanie</t>
  </si>
  <si>
    <t>7.1</t>
  </si>
  <si>
    <t xml:space="preserve">Modernizacja drogi na odcinku Prokocice </t>
  </si>
  <si>
    <t>PROW (Wsparcie inwestycji związanych z tworzenie, ulepszaniem wszystkich rodzajów małej infrastruktury w tym inwestycje w energie odnawialną i oszczędzanie energii, Budżet własny gminy (planowane wpisanie w budżet gminy na rok 2017)</t>
  </si>
  <si>
    <t>7.2</t>
  </si>
  <si>
    <t>Modernizacja drogi na odcinku Zbeltowice - Grodowice</t>
  </si>
  <si>
    <t>7.3</t>
  </si>
  <si>
    <t>Modernizacja drogi na odcinku Piotrkowice - Królewice - Kolonia</t>
  </si>
  <si>
    <t>7.4</t>
  </si>
  <si>
    <t>Modernizacja drogi na odcinku Bejsce</t>
  </si>
  <si>
    <t>7.5</t>
  </si>
  <si>
    <t>Modernizacja drogi na odcinku Uściszowice</t>
  </si>
  <si>
    <t>7.6</t>
  </si>
  <si>
    <t>Modernizacja drogi na odcinku Piotrkowice</t>
  </si>
  <si>
    <t>7.7</t>
  </si>
  <si>
    <t>Modernizacja drogi na odcinku Zbeltowice - Grodowice - Charbinowice</t>
  </si>
  <si>
    <t>7.8</t>
  </si>
  <si>
    <t>Modernizacja drogi na odcinku Czyżowice(Październik)-Królewice</t>
  </si>
  <si>
    <t>7.9</t>
  </si>
  <si>
    <t>Modernizacja drogi na odcinku Morawianki</t>
  </si>
  <si>
    <t>7.10</t>
  </si>
  <si>
    <t>Modernizacja drogi na odcinku Kaczkowice</t>
  </si>
  <si>
    <t>7.11</t>
  </si>
  <si>
    <t>Modernizacja drogi na odcinku Królewice</t>
  </si>
  <si>
    <t>7.12</t>
  </si>
  <si>
    <t>Modernizacja drogi na odcinku Piotrkowice (Choiny)</t>
  </si>
  <si>
    <t>7.13</t>
  </si>
  <si>
    <t>Modernizacja drogi na odcinku Bejsce (Dzielnice)</t>
  </si>
  <si>
    <t>* - zadanie możliwe do realizacji w przypadku zapewnienia finansowania</t>
  </si>
  <si>
    <t>w stosunku do finalnej konsumpcji energii.</t>
  </si>
  <si>
    <t>OZE [MWh/rok]</t>
  </si>
  <si>
    <t>Całkowite zużycie energii z OZE MWh/rok</t>
  </si>
  <si>
    <t>Całkowita energia z OZE</t>
  </si>
  <si>
    <t>Energia - grupa samorząd</t>
  </si>
  <si>
    <t>Energia - grupa społeczeństwo</t>
  </si>
  <si>
    <t>Energia OZE - grupa samorząd</t>
  </si>
  <si>
    <r>
      <t>EMISJA CO</t>
    </r>
    <r>
      <rPr>
        <b/>
        <vertAlign val="subscript"/>
        <sz val="10"/>
        <color rgb="FF000000"/>
        <rFont val="Arial"/>
        <family val="2"/>
        <charset val="238"/>
      </rPr>
      <t>2</t>
    </r>
  </si>
  <si>
    <t>Termomodernizacja budynków, oraz oświetlenia wewnętrznego w budynkach zarządzanych przez Gminę Bejsce</t>
  </si>
  <si>
    <t>Instalacja ogniw fotowoltaicznych i kolektorów słonecznych w budynkach zarządzanych przez Gminę Bejsce</t>
  </si>
  <si>
    <t>Wymiana kotłów na ekologiczne w kotłowniach lokalnych, oraz budowa ciepłowni zasilanej biomasą</t>
  </si>
  <si>
    <t>Użyteczność publiczna, społeczeństwo</t>
  </si>
  <si>
    <t>W tej podgrupie źródeł uwzględniono emisje wynikające z użytkowania budynków społeczeństwa tj. ogrzewanie, zużycie energii</t>
  </si>
  <si>
    <t>Oświetlenie dróg i obiektów publicznych - energia elektryczna</t>
  </si>
  <si>
    <t xml:space="preserve"> około </t>
  </si>
  <si>
    <t>około</t>
  </si>
  <si>
    <t>Całkowita emisja z obszaru gminy w 2013 r. zmniejszyła się w stosunku do roku 2003 o:</t>
  </si>
  <si>
    <t xml:space="preserve">Całkowita emisja z samorządu (obiektów użyteczności publicznej) w 2013 r. zmniejszyła się w stosunku do roku 2003 o: </t>
  </si>
  <si>
    <r>
      <t>MgCO</t>
    </r>
    <r>
      <rPr>
        <b/>
        <vertAlign val="subscript"/>
        <sz val="11"/>
        <color rgb="FF000000"/>
        <rFont val="Arial Narrow"/>
        <family val="2"/>
        <charset val="238"/>
      </rPr>
      <t>2</t>
    </r>
    <r>
      <rPr>
        <b/>
        <sz val="11"/>
        <color rgb="FF000000"/>
        <rFont val="Arial Narrow"/>
        <family val="2"/>
        <charset val="238"/>
      </rPr>
      <t>/rok</t>
    </r>
  </si>
  <si>
    <t>Cel redukcji do 2020 roku zużycia energii finalnej o:</t>
  </si>
  <si>
    <t>Cel zwiększenia do roku 2020 udziału w energii finalnej pochodzącej ze źródeł odnawialnych o:</t>
  </si>
  <si>
    <t>Cel redukcji emisji gazów cieplarnianych do roku 2020</t>
  </si>
  <si>
    <r>
      <t>Jak wynika z powyższej tabeli, aby osiągnąć wymagany cel redukcji emisji CO</t>
    </r>
    <r>
      <rPr>
        <vertAlign val="subscript"/>
        <sz val="6"/>
        <color rgb="FF000000"/>
        <rFont val="Arial Narrow"/>
        <family val="2"/>
        <charset val="238"/>
      </rPr>
      <t>2</t>
    </r>
    <r>
      <rPr>
        <sz val="6"/>
        <color rgb="FF000000"/>
        <rFont val="Arial Narrow"/>
        <family val="2"/>
        <charset val="238"/>
      </rPr>
      <t xml:space="preserve"> </t>
    </r>
    <r>
      <rPr>
        <sz val="11"/>
        <color rgb="FF000000"/>
        <rFont val="Arial Narrow"/>
        <family val="2"/>
        <charset val="238"/>
      </rPr>
      <t xml:space="preserve">do roku 2020 o 15% emisja powinna spaść z poziomu: </t>
    </r>
  </si>
  <si>
    <t xml:space="preserve">9** </t>
  </si>
  <si>
    <t>Obiekty prywatne</t>
  </si>
  <si>
    <t>Realizacja sześciu elektrowni wiatrowych o maksymalnej mocy do 2MW każda w obrębach Bejsce, Grodowice, Czyżowice, Królewice</t>
  </si>
  <si>
    <t>2017-2020</t>
  </si>
  <si>
    <t>środki prywatne, NFOŚ, Dofinansowanie RPOWŚ (Priorytet 4a wspieranie wytwarzania i dystrybucji energii pochodzącej ze źródeł odnawialnych)</t>
  </si>
  <si>
    <t>Oświetlenie na terenie gminy Bejsce</t>
  </si>
  <si>
    <t>Wzrost o</t>
  </si>
  <si>
    <t>Udział OZE</t>
  </si>
  <si>
    <t>2003/2020</t>
  </si>
  <si>
    <t>Obniżenie w stosunku do</t>
  </si>
  <si>
    <t>1*</t>
  </si>
  <si>
    <t>1.1*</t>
  </si>
  <si>
    <t>1.2*</t>
  </si>
  <si>
    <t>1.3*</t>
  </si>
  <si>
    <r>
      <t>Przyjmuje się że Gmina Bejsce powinna osiągnąć zmniejszenie emisji CO</t>
    </r>
    <r>
      <rPr>
        <sz val="6"/>
        <color rgb="FF000000"/>
        <rFont val="Arial Narrow"/>
        <family val="2"/>
        <charset val="238"/>
      </rPr>
      <t xml:space="preserve">2 </t>
    </r>
    <r>
      <rPr>
        <sz val="11"/>
        <color rgb="FF000000"/>
        <rFont val="Arial Narrow"/>
        <family val="2"/>
        <charset val="238"/>
      </rPr>
      <t>do roku 2020 w wysokości 22% emisji wyznaczonej dla roku bazowego 2003. Celem głównym jest zatem osiągnięcie poziomu emisji CO</t>
    </r>
    <r>
      <rPr>
        <vertAlign val="subscript"/>
        <sz val="11"/>
        <color rgb="FF000000"/>
        <rFont val="Arial Narrow"/>
        <family val="2"/>
        <charset val="238"/>
      </rPr>
      <t>2</t>
    </r>
    <r>
      <rPr>
        <sz val="11"/>
        <color rgb="FF000000"/>
        <rFont val="Arial Narrow"/>
        <family val="2"/>
        <charset val="238"/>
      </rPr>
      <t xml:space="preserve"> w wysokości 78% poziomu z roku 2003. W poniższej tabeli przedstawiono obliczenie poziomu docelowego emisji CO</t>
    </r>
    <r>
      <rPr>
        <vertAlign val="subscript"/>
        <sz val="11"/>
        <color rgb="FF000000"/>
        <rFont val="Arial Narrow"/>
        <family val="2"/>
        <charset val="238"/>
      </rPr>
      <t>2</t>
    </r>
    <r>
      <rPr>
        <sz val="11"/>
        <color rgb="FF000000"/>
        <rFont val="Arial Narrow"/>
        <family val="2"/>
        <charset val="238"/>
      </rPr>
      <t xml:space="preserve"> w roku 2020.</t>
    </r>
  </si>
  <si>
    <t>100% realizacji harmonogramu:</t>
  </si>
  <si>
    <t xml:space="preserve"> ** - zadanie możliwe do realizacji wyłącznie przez inwestora prywatnego, bez udziału finansowego gminy, nie wliczane do obliczeń , w przypadku realizacji zadania PGN zostanie zaktualizowany.</t>
  </si>
  <si>
    <t>Całkowita emisja CO2eq z budynków – w tonach dwutlenku węgla (Mg CO2eq)</t>
  </si>
  <si>
    <t>Całkowita emisja CO2eq z budynków w tym:</t>
  </si>
  <si>
    <t>Całkowita emisja CO2eq z pojazdów – w tonach dwutlenku węgla (Mg CO2eq)</t>
  </si>
  <si>
    <t>Całkowita emisja CO2eq z pojazdów</t>
  </si>
  <si>
    <t>Całkowita emisja CO2eq z oświetlenia ulicznego</t>
  </si>
  <si>
    <t>Porównanie emisji CO2 eq z działalności samorządowej w roku bazowym 2003 i roku 2013</t>
  </si>
  <si>
    <r>
      <t>CO</t>
    </r>
    <r>
      <rPr>
        <vertAlign val="subscript"/>
        <sz val="11"/>
        <color rgb="FF000000"/>
        <rFont val="Times New Roman"/>
        <family val="1"/>
        <charset val="238"/>
      </rPr>
      <t>2 eq</t>
    </r>
    <r>
      <rPr>
        <sz val="11"/>
        <color rgb="FF000000"/>
        <rFont val="Times New Roman"/>
        <family val="1"/>
        <charset val="238"/>
      </rPr>
      <t>Mg/rok</t>
    </r>
  </si>
  <si>
    <r>
      <t>m</t>
    </r>
    <r>
      <rPr>
        <vertAlign val="superscript"/>
        <sz val="11"/>
        <color rgb="FF000000"/>
        <rFont val="Times New Roman"/>
        <family val="1"/>
        <charset val="238"/>
      </rPr>
      <t>3</t>
    </r>
  </si>
  <si>
    <r>
      <t>Całkowita emisja CO</t>
    </r>
    <r>
      <rPr>
        <b/>
        <i/>
        <sz val="11"/>
        <color rgb="FF000000"/>
        <rFont val="Times New Roman"/>
        <family val="1"/>
        <charset val="238"/>
      </rPr>
      <t>2eq z oświetlenia publicznego – w tonach dwutlenku węgla (Mg CO2eq)</t>
    </r>
  </si>
  <si>
    <t>Porównanie emisji CO2 eq z działalności społeczeństwa w roku bazowym 2003 i roku 2013</t>
  </si>
  <si>
    <r>
      <t>CO</t>
    </r>
    <r>
      <rPr>
        <vertAlign val="subscript"/>
        <sz val="12"/>
        <color rgb="FF000000"/>
        <rFont val="Times New Roman"/>
        <family val="1"/>
        <charset val="238"/>
      </rPr>
      <t>2 eq</t>
    </r>
    <r>
      <rPr>
        <sz val="12"/>
        <color rgb="FF000000"/>
        <rFont val="Times New Roman"/>
        <family val="1"/>
        <charset val="238"/>
      </rPr>
      <t>Mg/rok</t>
    </r>
  </si>
  <si>
    <r>
      <t>m</t>
    </r>
    <r>
      <rPr>
        <vertAlign val="superscript"/>
        <sz val="12"/>
        <color rgb="FF000000"/>
        <rFont val="Times New Roman"/>
        <family val="1"/>
        <charset val="238"/>
      </rPr>
      <t>3</t>
    </r>
  </si>
  <si>
    <t>Całkowita emisja CO2eq z mieszkalnictwa – w tonach dwutlenku węgla (Mg CO2eq)</t>
  </si>
  <si>
    <t>Całkowita emisja CO2eq z mieszkalnictwa w tym:</t>
  </si>
  <si>
    <t>Całkowita emisja CO2eq z handlu, przemysłu i usług – w tonach dwutlenku węgla (Mg CO2eq)</t>
  </si>
  <si>
    <t>Całkowita emisja CO2eq z handlu, przemysłu i usług</t>
  </si>
  <si>
    <r>
      <t>Całkowita emisja CO</t>
    </r>
    <r>
      <rPr>
        <b/>
        <i/>
        <sz val="12"/>
        <color rgb="FF000000"/>
        <rFont val="Times New Roman"/>
        <family val="1"/>
        <charset val="238"/>
      </rPr>
      <t>2eq z transportu – w tonach dwutlenku węgla (Mg CO2eq)</t>
    </r>
  </si>
  <si>
    <t>Całkowita emisja CO2eq z transportu</t>
  </si>
  <si>
    <r>
      <t>Orientacyjny efekt redukcji emisji CO</t>
    </r>
    <r>
      <rPr>
        <b/>
        <vertAlign val="subscript"/>
        <sz val="12"/>
        <color rgb="FF000000"/>
        <rFont val="Times New Roman"/>
        <family val="1"/>
        <charset val="238"/>
      </rPr>
      <t>2</t>
    </r>
  </si>
  <si>
    <r>
      <t>[MgCO</t>
    </r>
    <r>
      <rPr>
        <vertAlign val="subscript"/>
        <sz val="12"/>
        <color rgb="FF000000"/>
        <rFont val="Times New Roman"/>
        <family val="1"/>
        <charset val="238"/>
      </rPr>
      <t>2</t>
    </r>
    <r>
      <rPr>
        <sz val="12"/>
        <color rgb="FF000000"/>
        <rFont val="Times New Roman"/>
        <family val="1"/>
        <charset val="238"/>
      </rPr>
      <t>/rok]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</si>
</sst>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00"/>
    <numFmt numFmtId="166" formatCode="0.0%"/>
    <numFmt numFmtId="167" formatCode="#,##0.0000"/>
  </numFmts>
  <fonts count="40" x14ac:knownFonts="1">
    <font>
      <sz val="10"/>
      <color rgb="FF000000"/>
      <name val="Arial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 Narrow"/>
      <family val="2"/>
      <charset val="238"/>
    </font>
    <font>
      <sz val="6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b/>
      <i/>
      <sz val="14"/>
      <color rgb="FF000000"/>
      <name val="Arial Narrow"/>
      <family val="2"/>
      <charset val="238"/>
    </font>
    <font>
      <b/>
      <vertAlign val="subscript"/>
      <sz val="10"/>
      <color rgb="FF000000"/>
      <name val="Arial"/>
      <family val="2"/>
      <charset val="238"/>
    </font>
    <font>
      <vertAlign val="subscript"/>
      <sz val="10"/>
      <color rgb="FF000000"/>
      <name val="Arial"/>
      <family val="2"/>
      <charset val="238"/>
    </font>
    <font>
      <vertAlign val="subscript"/>
      <sz val="11"/>
      <color rgb="FF000000"/>
      <name val="Arial Narrow"/>
      <family val="2"/>
      <charset val="238"/>
    </font>
    <font>
      <vertAlign val="subscript"/>
      <sz val="6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6"/>
      <color rgb="FF000000"/>
      <name val="Arial Narrow"/>
      <family val="2"/>
      <charset val="238"/>
    </font>
    <font>
      <b/>
      <i/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0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bscript"/>
      <sz val="11"/>
      <color rgb="FF000000"/>
      <name val="Arial Narrow"/>
      <family val="2"/>
      <charset val="238"/>
    </font>
    <font>
      <sz val="9"/>
      <color rgb="FF000000"/>
      <name val="Times New Roman"/>
      <family val="1"/>
      <charset val="238"/>
    </font>
    <font>
      <sz val="11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vertAlign val="subscript"/>
      <sz val="11"/>
      <color rgb="FF000000"/>
      <name val="Times New Roman"/>
      <family val="1"/>
      <charset val="238"/>
    </font>
    <font>
      <vertAlign val="superscript"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vertAlign val="subscript"/>
      <sz val="12"/>
      <color rgb="FF000000"/>
      <name val="Times New Roman"/>
      <family val="1"/>
      <charset val="238"/>
    </font>
    <font>
      <vertAlign val="superscript"/>
      <sz val="12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b/>
      <vertAlign val="subscript"/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10" fillId="0" borderId="0" xfId="0" applyFont="1" applyAlignment="1"/>
    <xf numFmtId="1" fontId="0" fillId="0" borderId="0" xfId="0" applyNumberFormat="1" applyFont="1" applyAlignment="1"/>
    <xf numFmtId="0" fontId="0" fillId="0" borderId="0" xfId="0" applyFont="1" applyAlignment="1">
      <alignment horizontal="center" wrapText="1"/>
    </xf>
    <xf numFmtId="0" fontId="0" fillId="0" borderId="1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0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2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3" xfId="0" applyFont="1" applyBorder="1" applyAlignment="1"/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10" xfId="0" applyFont="1" applyBorder="1" applyAlignment="1">
      <alignment horizontal="right"/>
    </xf>
    <xf numFmtId="4" fontId="0" fillId="0" borderId="0" xfId="0" applyNumberFormat="1" applyFont="1" applyAlignment="1"/>
    <xf numFmtId="0" fontId="5" fillId="0" borderId="0" xfId="0" applyFont="1" applyAlignment="1">
      <alignment horizontal="right"/>
    </xf>
    <xf numFmtId="166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6" fillId="0" borderId="0" xfId="0" applyFont="1" applyAlignment="1"/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/>
    <xf numFmtId="0" fontId="16" fillId="0" borderId="0" xfId="0" applyFont="1" applyAlignment="1">
      <alignment vertical="center" wrapText="1"/>
    </xf>
    <xf numFmtId="4" fontId="16" fillId="0" borderId="0" xfId="0" applyNumberFormat="1" applyFont="1" applyAlignme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/>
    <xf numFmtId="4" fontId="0" fillId="0" borderId="1" xfId="0" applyNumberFormat="1" applyFont="1" applyBorder="1" applyAlignment="1"/>
    <xf numFmtId="10" fontId="0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166" fontId="0" fillId="0" borderId="1" xfId="0" applyNumberFormat="1" applyFont="1" applyBorder="1" applyAlignment="1"/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166" fontId="0" fillId="0" borderId="0" xfId="0" applyNumberFormat="1" applyFont="1" applyBorder="1" applyAlignment="1"/>
    <xf numFmtId="0" fontId="0" fillId="0" borderId="1" xfId="0" applyFont="1" applyBorder="1" applyAlignment="1">
      <alignment wrapText="1"/>
    </xf>
    <xf numFmtId="0" fontId="1" fillId="0" borderId="1" xfId="0" applyFont="1" applyBorder="1" applyAlignment="1"/>
    <xf numFmtId="0" fontId="0" fillId="0" borderId="0" xfId="0" applyFont="1" applyAlignment="1">
      <alignment horizontal="center" vertical="center" wrapText="1"/>
    </xf>
    <xf numFmtId="0" fontId="18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/>
    <xf numFmtId="0" fontId="15" fillId="0" borderId="0" xfId="0" applyFont="1" applyAlignment="1">
      <alignment horizontal="right"/>
    </xf>
    <xf numFmtId="0" fontId="19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3" xfId="0" applyFont="1" applyBorder="1" applyAlignment="1"/>
    <xf numFmtId="0" fontId="3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4" fontId="1" fillId="0" borderId="0" xfId="0" applyNumberFormat="1" applyFont="1" applyAlignment="1"/>
    <xf numFmtId="2" fontId="0" fillId="0" borderId="0" xfId="0" applyNumberFormat="1" applyFont="1" applyAlignment="1"/>
    <xf numFmtId="0" fontId="2" fillId="0" borderId="0" xfId="0" applyFont="1" applyBorder="1" applyAlignment="1">
      <alignment horizontal="left" vertical="center"/>
    </xf>
    <xf numFmtId="2" fontId="6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vertical="center"/>
    </xf>
    <xf numFmtId="0" fontId="2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21" fillId="0" borderId="0" xfId="0" applyFont="1" applyAlignment="1"/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2" fontId="21" fillId="0" borderId="0" xfId="0" applyNumberFormat="1" applyFont="1" applyAlignment="1"/>
    <xf numFmtId="4" fontId="21" fillId="0" borderId="0" xfId="0" applyNumberFormat="1" applyFont="1" applyAlignment="1"/>
    <xf numFmtId="0" fontId="0" fillId="0" borderId="7" xfId="0" applyFont="1" applyBorder="1" applyAlignment="1">
      <alignment horizontal="left"/>
    </xf>
    <xf numFmtId="0" fontId="3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166" fontId="6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left"/>
    </xf>
    <xf numFmtId="0" fontId="24" fillId="0" borderId="0" xfId="0" applyFont="1" applyAlignment="1"/>
    <xf numFmtId="164" fontId="0" fillId="0" borderId="0" xfId="0" applyNumberFormat="1" applyFont="1" applyBorder="1" applyAlignment="1"/>
    <xf numFmtId="0" fontId="20" fillId="2" borderId="0" xfId="0" applyFont="1" applyFill="1" applyAlignment="1">
      <alignment vertical="center"/>
    </xf>
    <xf numFmtId="0" fontId="0" fillId="2" borderId="0" xfId="0" applyFont="1" applyFill="1" applyBorder="1" applyAlignment="1"/>
    <xf numFmtId="10" fontId="0" fillId="0" borderId="1" xfId="0" applyNumberFormat="1" applyFont="1" applyBorder="1" applyAlignment="1"/>
    <xf numFmtId="2" fontId="20" fillId="5" borderId="0" xfId="0" applyNumberFormat="1" applyFont="1" applyFill="1" applyAlignment="1">
      <alignment vertical="center"/>
    </xf>
    <xf numFmtId="2" fontId="1" fillId="0" borderId="0" xfId="0" applyNumberFormat="1" applyFont="1" applyAlignment="1"/>
    <xf numFmtId="167" fontId="0" fillId="0" borderId="0" xfId="0" applyNumberFormat="1" applyFont="1" applyAlignment="1"/>
    <xf numFmtId="164" fontId="0" fillId="0" borderId="0" xfId="0" applyNumberFormat="1" applyFont="1" applyAlignment="1"/>
    <xf numFmtId="0" fontId="20" fillId="0" borderId="0" xfId="0" applyFont="1" applyAlignment="1">
      <alignment horizontal="left" vertical="center"/>
    </xf>
    <xf numFmtId="0" fontId="6" fillId="0" borderId="1" xfId="0" applyFont="1" applyBorder="1" applyAlignment="1"/>
    <xf numFmtId="0" fontId="6" fillId="0" borderId="1" xfId="0" applyFont="1" applyBorder="1" applyAlignment="1">
      <alignment horizontal="right"/>
    </xf>
    <xf numFmtId="0" fontId="3" fillId="0" borderId="1" xfId="0" applyFont="1" applyBorder="1" applyAlignment="1"/>
    <xf numFmtId="1" fontId="3" fillId="0" borderId="1" xfId="0" applyNumberFormat="1" applyFont="1" applyBorder="1" applyAlignment="1"/>
    <xf numFmtId="0" fontId="25" fillId="0" borderId="1" xfId="0" applyFont="1" applyBorder="1" applyAlignment="1"/>
    <xf numFmtId="164" fontId="3" fillId="0" borderId="1" xfId="0" applyNumberFormat="1" applyFont="1" applyBorder="1" applyAlignment="1"/>
    <xf numFmtId="0" fontId="7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/>
    <xf numFmtId="0" fontId="16" fillId="0" borderId="0" xfId="0" applyFont="1" applyAlignment="1">
      <alignment horizontal="left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right"/>
    </xf>
    <xf numFmtId="0" fontId="28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/>
    </xf>
    <xf numFmtId="2" fontId="28" fillId="0" borderId="1" xfId="0" applyNumberFormat="1" applyFont="1" applyBorder="1" applyAlignment="1"/>
    <xf numFmtId="2" fontId="28" fillId="0" borderId="1" xfId="0" applyNumberFormat="1" applyFont="1" applyBorder="1" applyAlignment="1">
      <alignment horizontal="right"/>
    </xf>
    <xf numFmtId="2" fontId="27" fillId="0" borderId="1" xfId="0" applyNumberFormat="1" applyFont="1" applyBorder="1" applyAlignment="1">
      <alignment horizontal="right"/>
    </xf>
    <xf numFmtId="2" fontId="27" fillId="0" borderId="1" xfId="0" applyNumberFormat="1" applyFont="1" applyBorder="1" applyAlignment="1"/>
    <xf numFmtId="2" fontId="27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right" vertical="center" wrapText="1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/>
    <xf numFmtId="4" fontId="28" fillId="0" borderId="1" xfId="0" applyNumberFormat="1" applyFont="1" applyBorder="1" applyAlignment="1"/>
    <xf numFmtId="4" fontId="28" fillId="0" borderId="1" xfId="0" applyNumberFormat="1" applyFont="1" applyBorder="1" applyAlignment="1">
      <alignment horizontal="right"/>
    </xf>
    <xf numFmtId="0" fontId="27" fillId="0" borderId="10" xfId="0" applyFont="1" applyBorder="1" applyAlignment="1">
      <alignment horizontal="right"/>
    </xf>
    <xf numFmtId="0" fontId="27" fillId="0" borderId="11" xfId="0" applyFont="1" applyBorder="1" applyAlignment="1">
      <alignment horizontal="right"/>
    </xf>
    <xf numFmtId="0" fontId="27" fillId="0" borderId="12" xfId="0" applyFont="1" applyBorder="1" applyAlignment="1">
      <alignment horizontal="right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28" fillId="0" borderId="0" xfId="0" applyFont="1" applyAlignment="1"/>
    <xf numFmtId="2" fontId="28" fillId="0" borderId="0" xfId="0" applyNumberFormat="1" applyFont="1" applyAlignment="1"/>
    <xf numFmtId="0" fontId="27" fillId="0" borderId="0" xfId="0" applyFont="1" applyAlignment="1">
      <alignment horizontal="center"/>
    </xf>
    <xf numFmtId="0" fontId="27" fillId="0" borderId="0" xfId="0" applyFont="1" applyAlignment="1"/>
    <xf numFmtId="0" fontId="28" fillId="0" borderId="0" xfId="0" applyFont="1" applyAlignment="1">
      <alignment horizontal="center"/>
    </xf>
    <xf numFmtId="0" fontId="32" fillId="0" borderId="0" xfId="0" applyFont="1" applyAlignment="1"/>
    <xf numFmtId="0" fontId="33" fillId="0" borderId="0" xfId="0" applyFont="1" applyAlignment="1"/>
    <xf numFmtId="0" fontId="33" fillId="0" borderId="0" xfId="0" applyFont="1" applyAlignment="1">
      <alignment horizontal="center"/>
    </xf>
    <xf numFmtId="0" fontId="34" fillId="0" borderId="0" xfId="0" applyFont="1" applyAlignment="1"/>
    <xf numFmtId="0" fontId="33" fillId="0" borderId="0" xfId="0" applyFont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right"/>
    </xf>
    <xf numFmtId="0" fontId="33" fillId="0" borderId="0" xfId="0" applyFont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33" fillId="0" borderId="1" xfId="0" applyFont="1" applyBorder="1" applyAlignment="1"/>
    <xf numFmtId="4" fontId="33" fillId="0" borderId="1" xfId="0" applyNumberFormat="1" applyFont="1" applyBorder="1" applyAlignment="1"/>
    <xf numFmtId="2" fontId="33" fillId="0" borderId="1" xfId="0" applyNumberFormat="1" applyFont="1" applyBorder="1" applyAlignment="1"/>
    <xf numFmtId="4" fontId="33" fillId="0" borderId="0" xfId="0" applyNumberFormat="1" applyFont="1" applyAlignment="1"/>
    <xf numFmtId="4" fontId="33" fillId="0" borderId="1" xfId="0" applyNumberFormat="1" applyFont="1" applyBorder="1" applyAlignment="1">
      <alignment horizontal="right"/>
    </xf>
    <xf numFmtId="0" fontId="34" fillId="0" borderId="1" xfId="0" applyFont="1" applyFill="1" applyBorder="1" applyAlignment="1">
      <alignment horizontal="right"/>
    </xf>
    <xf numFmtId="4" fontId="34" fillId="0" borderId="1" xfId="0" applyNumberFormat="1" applyFont="1" applyFill="1" applyBorder="1" applyAlignment="1"/>
    <xf numFmtId="0" fontId="34" fillId="0" borderId="1" xfId="0" applyFont="1" applyFill="1" applyBorder="1" applyAlignment="1"/>
    <xf numFmtId="0" fontId="34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/>
    </xf>
    <xf numFmtId="0" fontId="33" fillId="0" borderId="1" xfId="0" applyFont="1" applyFill="1" applyBorder="1" applyAlignment="1"/>
    <xf numFmtId="4" fontId="33" fillId="0" borderId="1" xfId="0" applyNumberFormat="1" applyFont="1" applyFill="1" applyBorder="1" applyAlignment="1"/>
    <xf numFmtId="2" fontId="33" fillId="0" borderId="1" xfId="0" applyNumberFormat="1" applyFont="1" applyFill="1" applyBorder="1" applyAlignment="1"/>
    <xf numFmtId="4" fontId="33" fillId="0" borderId="1" xfId="0" applyNumberFormat="1" applyFont="1" applyFill="1" applyBorder="1" applyAlignment="1">
      <alignment horizontal="right"/>
    </xf>
    <xf numFmtId="0" fontId="35" fillId="0" borderId="0" xfId="0" applyFont="1" applyFill="1" applyAlignment="1">
      <alignment horizontal="left"/>
    </xf>
    <xf numFmtId="0" fontId="33" fillId="0" borderId="0" xfId="0" applyFont="1" applyFill="1" applyAlignment="1"/>
    <xf numFmtId="0" fontId="35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5" fillId="0" borderId="0" xfId="0" applyFont="1" applyAlignment="1"/>
    <xf numFmtId="0" fontId="33" fillId="0" borderId="0" xfId="0" applyFont="1" applyAlignment="1">
      <alignment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right" vertical="center" wrapText="1"/>
    </xf>
    <xf numFmtId="0" fontId="33" fillId="0" borderId="1" xfId="0" applyFont="1" applyBorder="1" applyAlignment="1">
      <alignment horizontal="right" vertical="center"/>
    </xf>
    <xf numFmtId="0" fontId="34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horizontal="center"/>
    </xf>
    <xf numFmtId="0" fontId="38" fillId="0" borderId="0" xfId="0" applyFont="1" applyAlignment="1"/>
    <xf numFmtId="0" fontId="33" fillId="0" borderId="0" xfId="0" applyFont="1" applyBorder="1" applyAlignment="1"/>
    <xf numFmtId="4" fontId="33" fillId="0" borderId="0" xfId="0" applyNumberFormat="1" applyFont="1" applyBorder="1" applyAlignment="1"/>
    <xf numFmtId="0" fontId="34" fillId="5" borderId="16" xfId="0" applyFont="1" applyFill="1" applyBorder="1" applyAlignment="1">
      <alignment horizontal="center" vertical="center" wrapText="1"/>
    </xf>
    <xf numFmtId="0" fontId="34" fillId="5" borderId="18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5" borderId="16" xfId="0" applyFont="1" applyFill="1" applyBorder="1" applyAlignment="1">
      <alignment horizontal="center" vertical="center"/>
    </xf>
    <xf numFmtId="0" fontId="34" fillId="5" borderId="17" xfId="0" applyFont="1" applyFill="1" applyBorder="1" applyAlignment="1">
      <alignment horizontal="center" vertical="center" wrapText="1"/>
    </xf>
    <xf numFmtId="0" fontId="33" fillId="5" borderId="19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34" fillId="5" borderId="17" xfId="0" applyFont="1" applyFill="1" applyBorder="1" applyAlignment="1">
      <alignment horizontal="center" vertical="center"/>
    </xf>
    <xf numFmtId="0" fontId="33" fillId="5" borderId="20" xfId="0" applyFont="1" applyFill="1" applyBorder="1" applyAlignment="1">
      <alignment horizontal="center" vertical="center"/>
    </xf>
    <xf numFmtId="0" fontId="33" fillId="5" borderId="19" xfId="0" applyFont="1" applyFill="1" applyBorder="1" applyAlignment="1">
      <alignment horizontal="left" vertical="center"/>
    </xf>
    <xf numFmtId="0" fontId="33" fillId="5" borderId="19" xfId="0" applyFont="1" applyFill="1" applyBorder="1" applyAlignment="1">
      <alignment horizontal="left" vertical="center" wrapText="1"/>
    </xf>
    <xf numFmtId="3" fontId="33" fillId="5" borderId="19" xfId="0" applyNumberFormat="1" applyFont="1" applyFill="1" applyBorder="1" applyAlignment="1">
      <alignment horizontal="center" vertical="center"/>
    </xf>
    <xf numFmtId="3" fontId="33" fillId="2" borderId="0" xfId="0" applyNumberFormat="1" applyFont="1" applyFill="1" applyBorder="1" applyAlignment="1">
      <alignment horizontal="center" vertical="center"/>
    </xf>
    <xf numFmtId="2" fontId="33" fillId="5" borderId="19" xfId="0" applyNumberFormat="1" applyFont="1" applyFill="1" applyBorder="1" applyAlignment="1">
      <alignment horizontal="center" vertical="center"/>
    </xf>
    <xf numFmtId="0" fontId="33" fillId="5" borderId="21" xfId="0" applyFont="1" applyFill="1" applyBorder="1" applyAlignment="1">
      <alignment horizontal="center" vertical="center"/>
    </xf>
    <xf numFmtId="0" fontId="33" fillId="2" borderId="20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horizontal="left" vertical="center"/>
    </xf>
    <xf numFmtId="0" fontId="33" fillId="2" borderId="19" xfId="0" applyFont="1" applyFill="1" applyBorder="1" applyAlignment="1">
      <alignment horizontal="left" vertical="center" wrapText="1"/>
    </xf>
    <xf numFmtId="3" fontId="33" fillId="2" borderId="19" xfId="0" applyNumberFormat="1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horizontal="center" vertical="center"/>
    </xf>
    <xf numFmtId="2" fontId="33" fillId="2" borderId="19" xfId="0" applyNumberFormat="1" applyFont="1" applyFill="1" applyBorder="1" applyAlignment="1">
      <alignment horizontal="center" vertical="center"/>
    </xf>
    <xf numFmtId="0" fontId="33" fillId="5" borderId="20" xfId="0" applyFont="1" applyFill="1" applyBorder="1" applyAlignment="1">
      <alignment horizontal="left" vertical="center" wrapText="1"/>
    </xf>
    <xf numFmtId="0" fontId="33" fillId="5" borderId="20" xfId="0" applyFont="1" applyFill="1" applyBorder="1" applyAlignment="1">
      <alignment horizontal="left" vertical="center"/>
    </xf>
    <xf numFmtId="165" fontId="33" fillId="2" borderId="0" xfId="0" applyNumberFormat="1" applyFont="1" applyFill="1" applyBorder="1" applyAlignment="1">
      <alignment horizontal="center" vertical="center"/>
    </xf>
    <xf numFmtId="3" fontId="33" fillId="0" borderId="19" xfId="0" applyNumberFormat="1" applyFont="1" applyBorder="1" applyAlignment="1">
      <alignment horizontal="center" vertical="center"/>
    </xf>
    <xf numFmtId="0" fontId="33" fillId="5" borderId="22" xfId="0" applyFont="1" applyFill="1" applyBorder="1" applyAlignment="1">
      <alignment horizontal="center" vertical="center"/>
    </xf>
    <xf numFmtId="0" fontId="33" fillId="5" borderId="23" xfId="0" applyFont="1" applyFill="1" applyBorder="1" applyAlignment="1">
      <alignment horizontal="left" vertical="center"/>
    </xf>
    <xf numFmtId="0" fontId="33" fillId="5" borderId="22" xfId="0" applyFont="1" applyFill="1" applyBorder="1" applyAlignment="1">
      <alignment horizontal="left" vertical="center"/>
    </xf>
    <xf numFmtId="0" fontId="33" fillId="0" borderId="20" xfId="0" applyFont="1" applyBorder="1" applyAlignment="1">
      <alignment horizontal="left" vertical="center" wrapText="1"/>
    </xf>
    <xf numFmtId="3" fontId="33" fillId="2" borderId="19" xfId="0" applyNumberFormat="1" applyFont="1" applyFill="1" applyBorder="1" applyAlignment="1">
      <alignment horizontal="center" vertical="center" wrapText="1"/>
    </xf>
    <xf numFmtId="0" fontId="33" fillId="5" borderId="23" xfId="0" applyFont="1" applyFill="1" applyBorder="1" applyAlignment="1">
      <alignment horizontal="center" vertical="center"/>
    </xf>
    <xf numFmtId="0" fontId="33" fillId="5" borderId="18" xfId="0" applyFont="1" applyFill="1" applyBorder="1" applyAlignment="1">
      <alignment horizontal="left" vertical="center"/>
    </xf>
    <xf numFmtId="0" fontId="33" fillId="5" borderId="18" xfId="0" applyFont="1" applyFill="1" applyBorder="1" applyAlignment="1">
      <alignment horizontal="left" vertical="center" wrapText="1"/>
    </xf>
    <xf numFmtId="3" fontId="33" fillId="5" borderId="18" xfId="0" applyNumberFormat="1" applyFont="1" applyFill="1" applyBorder="1" applyAlignment="1">
      <alignment horizontal="center" vertical="center"/>
    </xf>
    <xf numFmtId="0" fontId="33" fillId="2" borderId="0" xfId="0" applyFont="1" applyFill="1" applyBorder="1" applyAlignment="1"/>
    <xf numFmtId="2" fontId="33" fillId="5" borderId="18" xfId="0" applyNumberFormat="1" applyFont="1" applyFill="1" applyBorder="1" applyAlignment="1">
      <alignment horizontal="center" vertical="center"/>
    </xf>
    <xf numFmtId="0" fontId="33" fillId="5" borderId="25" xfId="0" applyFont="1" applyFill="1" applyBorder="1" applyAlignment="1">
      <alignment horizontal="center" vertical="center"/>
    </xf>
    <xf numFmtId="0" fontId="33" fillId="5" borderId="0" xfId="0" applyFont="1" applyFill="1" applyAlignment="1">
      <alignment horizontal="left" vertical="center"/>
    </xf>
    <xf numFmtId="0" fontId="33" fillId="2" borderId="0" xfId="0" applyFont="1" applyFill="1" applyBorder="1" applyAlignment="1">
      <alignment horizontal="left" vertical="center"/>
    </xf>
    <xf numFmtId="0" fontId="33" fillId="5" borderId="0" xfId="0" applyFont="1" applyFill="1" applyBorder="1" applyAlignment="1">
      <alignment horizontal="left" vertical="center"/>
    </xf>
    <xf numFmtId="0" fontId="33" fillId="5" borderId="0" xfId="0" applyFont="1" applyFill="1" applyAlignment="1">
      <alignment vertical="center"/>
    </xf>
    <xf numFmtId="3" fontId="33" fillId="5" borderId="0" xfId="0" applyNumberFormat="1" applyFont="1" applyFill="1" applyAlignment="1">
      <alignment vertical="center"/>
    </xf>
    <xf numFmtId="3" fontId="33" fillId="2" borderId="0" xfId="0" applyNumberFormat="1" applyFont="1" applyFill="1" applyAlignment="1">
      <alignment vertical="center"/>
    </xf>
    <xf numFmtId="0" fontId="33" fillId="2" borderId="0" xfId="0" applyFont="1" applyFill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31427039971914339"/>
          <c:y val="1.3386880856760375E-2"/>
        </c:manualLayout>
      </c:layout>
      <c:overlay val="0"/>
      <c:txPr>
        <a:bodyPr/>
        <a:lstStyle/>
        <a:p>
          <a:pPr>
            <a:defRPr sz="1200"/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Struktura!$B$9</c:f>
              <c:strCache>
                <c:ptCount val="1"/>
                <c:pt idx="0">
                  <c:v>Sposób ogrzewania pomieszczeń</c:v>
                </c:pt>
              </c:strCache>
            </c:strRef>
          </c:tx>
          <c:dLbls>
            <c:dLbl>
              <c:idx val="0"/>
              <c:layout>
                <c:manualLayout>
                  <c:x val="1.0546750923650467E-2"/>
                  <c:y val="-4.57016166151921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9288998110904922E-3"/>
                  <c:y val="-5.9027360535756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0610946720831868E-2"/>
                  <c:y val="-2.2849402860786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817744119564672E-2"/>
                  <c:y val="-3.1612363715579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Struktura!$B$10:$B$13</c:f>
              <c:strCache>
                <c:ptCount val="4"/>
                <c:pt idx="0">
                  <c:v>Brak instalacji centralnego ogrzewania (kominek, piec)</c:v>
                </c:pt>
                <c:pt idx="1">
                  <c:v>Centralne ogrzewanie c.o. (kocioł + dodatkowy kominek)</c:v>
                </c:pt>
                <c:pt idx="2">
                  <c:v>Centralne ogrzewanie c.o. (kocioł)</c:v>
                </c:pt>
                <c:pt idx="3">
                  <c:v>Elektryczne</c:v>
                </c:pt>
              </c:strCache>
            </c:strRef>
          </c:cat>
          <c:val>
            <c:numRef>
              <c:f>Struktura!$C$10:$C$13</c:f>
              <c:numCache>
                <c:formatCode>0</c:formatCode>
                <c:ptCount val="4"/>
                <c:pt idx="0">
                  <c:v>18</c:v>
                </c:pt>
                <c:pt idx="1">
                  <c:v>1</c:v>
                </c:pt>
                <c:pt idx="2">
                  <c:v>80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6909469715967032"/>
          <c:y val="0.28369084386540033"/>
          <c:w val="0.41498173596134874"/>
          <c:h val="0.55531135917247287"/>
        </c:manualLayout>
      </c:layout>
      <c:overlay val="0"/>
      <c:txPr>
        <a:bodyPr/>
        <a:lstStyle/>
        <a:p>
          <a:pPr rtl="0">
            <a:defRPr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pl-PL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1523126371147257"/>
          <c:y val="0"/>
        </c:manualLayout>
      </c:layout>
      <c:overlay val="0"/>
      <c:txPr>
        <a:bodyPr/>
        <a:lstStyle/>
        <a:p>
          <a:pPr>
            <a:defRPr sz="1200"/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Struktura!$B$34</c:f>
              <c:strCache>
                <c:ptCount val="1"/>
                <c:pt idx="0">
                  <c:v>Rodzaj stosowanego paliwa/energii do ogrzewania pomieszczeń</c:v>
                </c:pt>
              </c:strCache>
            </c:strRef>
          </c:tx>
          <c:dLbls>
            <c:dLbl>
              <c:idx val="0"/>
              <c:layout>
                <c:manualLayout>
                  <c:x val="2.5579371248976045E-2"/>
                  <c:y val="-4.8723327254775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0976143905578675E-5"/>
                  <c:y val="-3.113943086431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668722938295135E-2"/>
                  <c:y val="-4.9772844659477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1492562733002323"/>
                  <c:y val="-3.7723949164988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495172776969757E-2"/>
                  <c:y val="-1.3572048473860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8606207265493087E-2"/>
                  <c:y val="-7.3498543605744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9697723891201501E-2"/>
                  <c:y val="-5.3718636576050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Struktura!$B$35:$B$41</c:f>
              <c:strCache>
                <c:ptCount val="6"/>
                <c:pt idx="0">
                  <c:v>Drewno</c:v>
                </c:pt>
                <c:pt idx="1">
                  <c:v>Eko groszek</c:v>
                </c:pt>
                <c:pt idx="2">
                  <c:v>Energia elektryczna</c:v>
                </c:pt>
                <c:pt idx="3">
                  <c:v>Węgiel kamienny</c:v>
                </c:pt>
                <c:pt idx="4">
                  <c:v>Miał węglowy</c:v>
                </c:pt>
                <c:pt idx="5">
                  <c:v>Propan butan</c:v>
                </c:pt>
              </c:strCache>
            </c:strRef>
          </c:cat>
          <c:val>
            <c:numRef>
              <c:f>Struktura!$C$35:$C$41</c:f>
              <c:numCache>
                <c:formatCode>0.0</c:formatCode>
                <c:ptCount val="6"/>
                <c:pt idx="0">
                  <c:v>7.6</c:v>
                </c:pt>
                <c:pt idx="1">
                  <c:v>7.4</c:v>
                </c:pt>
                <c:pt idx="2">
                  <c:v>0.6</c:v>
                </c:pt>
                <c:pt idx="3">
                  <c:v>76.400000000000006</c:v>
                </c:pt>
                <c:pt idx="4">
                  <c:v>3.2</c:v>
                </c:pt>
                <c:pt idx="5">
                  <c:v>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6909469715967032"/>
          <c:y val="0.23460565681038123"/>
          <c:w val="0.41498173596134874"/>
          <c:h val="0.68918011122735534"/>
        </c:manualLayout>
      </c:layout>
      <c:overlay val="0"/>
      <c:txPr>
        <a:bodyPr/>
        <a:lstStyle/>
        <a:p>
          <a:pPr rtl="0">
            <a:defRPr sz="1050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15503477690288714"/>
          <c:y val="0"/>
        </c:manualLayout>
      </c:layout>
      <c:overlay val="0"/>
      <c:txPr>
        <a:bodyPr/>
        <a:lstStyle/>
        <a:p>
          <a:pPr>
            <a:defRPr sz="1200"/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Struktura!$B$52</c:f>
              <c:strCache>
                <c:ptCount val="1"/>
                <c:pt idx="0">
                  <c:v>Rodzaj paliwa/energii do przygotowania ciepłej wody użytkowej</c:v>
                </c:pt>
              </c:strCache>
            </c:strRef>
          </c:tx>
          <c:dLbls>
            <c:dLbl>
              <c:idx val="0"/>
              <c:layout>
                <c:manualLayout>
                  <c:x val="1.7679338649547786E-2"/>
                  <c:y val="-9.0598614932169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00550428807864E-3"/>
                  <c:y val="-3.3184004609865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2985334436698597E-2"/>
                  <c:y val="-4.2941319082102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7250071050035942E-3"/>
                  <c:y val="3.4413419206133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3709814935553439E-2"/>
                  <c:y val="1.9267973029475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1222583044953779E-2"/>
                  <c:y val="1.6608867666642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4816063995185312E-2"/>
                  <c:y val="-5.4239003257122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3.5709016667502549E-2"/>
                  <c:y val="-4.6688591636888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Struktura!$B$53:$B$59</c:f>
              <c:strCache>
                <c:ptCount val="7"/>
                <c:pt idx="0">
                  <c:v>Drewno</c:v>
                </c:pt>
                <c:pt idx="1">
                  <c:v>Eko groszek</c:v>
                </c:pt>
                <c:pt idx="2">
                  <c:v>Panele słoneczne (OZE)</c:v>
                </c:pt>
                <c:pt idx="3">
                  <c:v>Energia elektryczna</c:v>
                </c:pt>
                <c:pt idx="4">
                  <c:v>Węgiel kamienny</c:v>
                </c:pt>
                <c:pt idx="5">
                  <c:v>Miał węglowy</c:v>
                </c:pt>
                <c:pt idx="6">
                  <c:v>Propan butan</c:v>
                </c:pt>
              </c:strCache>
            </c:strRef>
          </c:cat>
          <c:val>
            <c:numRef>
              <c:f>Struktura!$C$53:$C$59</c:f>
              <c:numCache>
                <c:formatCode>0.0</c:formatCode>
                <c:ptCount val="7"/>
                <c:pt idx="0">
                  <c:v>10.3</c:v>
                </c:pt>
                <c:pt idx="1">
                  <c:v>11.2</c:v>
                </c:pt>
                <c:pt idx="2">
                  <c:v>1.9</c:v>
                </c:pt>
                <c:pt idx="3">
                  <c:v>19.899999999999999</c:v>
                </c:pt>
                <c:pt idx="4">
                  <c:v>51.8</c:v>
                </c:pt>
                <c:pt idx="5">
                  <c:v>3.2</c:v>
                </c:pt>
                <c:pt idx="6">
                  <c:v>1.7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6909469715967032"/>
          <c:y val="0.23460565681038123"/>
          <c:w val="0.41498173596134874"/>
          <c:h val="0.68918011122735534"/>
        </c:manualLayout>
      </c:layout>
      <c:overlay val="0"/>
      <c:txPr>
        <a:bodyPr/>
        <a:lstStyle/>
        <a:p>
          <a:pPr rtl="0">
            <a:defRPr sz="1050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15503477690288714"/>
          <c:y val="0"/>
        </c:manualLayout>
      </c:layout>
      <c:overlay val="0"/>
      <c:txPr>
        <a:bodyPr/>
        <a:lstStyle/>
        <a:p>
          <a:pPr>
            <a:defRPr sz="1200"/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Struktura!$B$69</c:f>
              <c:strCache>
                <c:ptCount val="1"/>
                <c:pt idx="0">
                  <c:v>Rodzaj paliwa/energii do przygotowania posiłków</c:v>
                </c:pt>
              </c:strCache>
            </c:strRef>
          </c:tx>
          <c:dLbls>
            <c:dLbl>
              <c:idx val="0"/>
              <c:layout>
                <c:manualLayout>
                  <c:x val="-2.6342218767240081E-2"/>
                  <c:y val="-3.4845594099934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2974363475266229E-3"/>
                  <c:y val="-2.7259694947770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4607573933831519E-2"/>
                  <c:y val="-8.4267077057134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183737482655432"/>
                  <c:y val="-1.8765525795219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1640649815269909E-2"/>
                  <c:y val="-6.5943564283380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Struktura!$B$71:$B$76</c:f>
              <c:strCache>
                <c:ptCount val="6"/>
                <c:pt idx="0">
                  <c:v>Eko groszek</c:v>
                </c:pt>
                <c:pt idx="1">
                  <c:v>Panele słoneczne (OZE)</c:v>
                </c:pt>
                <c:pt idx="2">
                  <c:v>Energia elektryczna</c:v>
                </c:pt>
                <c:pt idx="3">
                  <c:v>Węgiel kamienny</c:v>
                </c:pt>
                <c:pt idx="4">
                  <c:v>Miał węglowy</c:v>
                </c:pt>
                <c:pt idx="5">
                  <c:v>Propan butan</c:v>
                </c:pt>
              </c:strCache>
            </c:strRef>
          </c:cat>
          <c:val>
            <c:numRef>
              <c:f>Struktura!$C$70:$C$76</c:f>
              <c:numCache>
                <c:formatCode>0.0</c:formatCode>
                <c:ptCount val="7"/>
                <c:pt idx="0" formatCode="General">
                  <c:v>0.6</c:v>
                </c:pt>
                <c:pt idx="1">
                  <c:v>0</c:v>
                </c:pt>
                <c:pt idx="2">
                  <c:v>0</c:v>
                </c:pt>
                <c:pt idx="3">
                  <c:v>13.2</c:v>
                </c:pt>
                <c:pt idx="4">
                  <c:v>8</c:v>
                </c:pt>
                <c:pt idx="5">
                  <c:v>0</c:v>
                </c:pt>
                <c:pt idx="6">
                  <c:v>78.2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6"/>
        <c:delete val="1"/>
      </c:legendEntry>
      <c:layout>
        <c:manualLayout>
          <c:xMode val="edge"/>
          <c:yMode val="edge"/>
          <c:x val="0.56909469715967032"/>
          <c:y val="0.23460565681038123"/>
          <c:w val="0.41498173596134874"/>
          <c:h val="0.68918011122735534"/>
        </c:manualLayout>
      </c:layout>
      <c:overlay val="0"/>
      <c:txPr>
        <a:bodyPr/>
        <a:lstStyle/>
        <a:p>
          <a:pPr rtl="0">
            <a:defRPr sz="1050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15503477690288714"/>
          <c:y val="0"/>
        </c:manualLayout>
      </c:layout>
      <c:overlay val="0"/>
      <c:txPr>
        <a:bodyPr/>
        <a:lstStyle/>
        <a:p>
          <a:pPr>
            <a:defRPr sz="1200"/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Struktura!$B$108</c:f>
              <c:strCache>
                <c:ptCount val="1"/>
                <c:pt idx="0">
                  <c:v>Ocieplenie ścian zewnętrznych</c:v>
                </c:pt>
              </c:strCache>
            </c:strRef>
          </c:tx>
          <c:dLbls>
            <c:dLbl>
              <c:idx val="0"/>
              <c:layout>
                <c:manualLayout>
                  <c:x val="4.9999373087918153E-3"/>
                  <c:y val="-4.2332760613758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6741666248725277E-2"/>
                  <c:y val="1.94443566040188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524253138739824E-2"/>
                  <c:y val="-0.148978415850629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Struktura!$B$109:$B$111</c:f>
              <c:strCache>
                <c:ptCount val="3"/>
                <c:pt idx="0">
                  <c:v>Tak, budynek dobrze ocieplony</c:v>
                </c:pt>
                <c:pt idx="1">
                  <c:v>Tak, budynek częściowo ocieplony</c:v>
                </c:pt>
                <c:pt idx="2">
                  <c:v>Nie, budynek nie ocieplony</c:v>
                </c:pt>
              </c:strCache>
            </c:strRef>
          </c:cat>
          <c:val>
            <c:numRef>
              <c:f>Struktura!$C$109:$C$111</c:f>
              <c:numCache>
                <c:formatCode>0.0</c:formatCode>
                <c:ptCount val="3"/>
                <c:pt idx="0">
                  <c:v>30.8</c:v>
                </c:pt>
                <c:pt idx="1">
                  <c:v>21.5</c:v>
                </c:pt>
                <c:pt idx="2">
                  <c:v>47.7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6909469715967032"/>
          <c:y val="0.33723836729244183"/>
          <c:w val="0.41498173596134874"/>
          <c:h val="0.42144255060486918"/>
        </c:manualLayout>
      </c:layout>
      <c:overlay val="0"/>
      <c:txPr>
        <a:bodyPr/>
        <a:lstStyle/>
        <a:p>
          <a:pPr rtl="0">
            <a:defRPr sz="1050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15503477690288714"/>
          <c:y val="0"/>
        </c:manualLayout>
      </c:layout>
      <c:overlay val="0"/>
      <c:txPr>
        <a:bodyPr/>
        <a:lstStyle/>
        <a:p>
          <a:pPr>
            <a:defRPr sz="1200"/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Struktura!$B$127</c:f>
              <c:strCache>
                <c:ptCount val="1"/>
                <c:pt idx="0">
                  <c:v>Ocieplenie stropu/ dachu</c:v>
                </c:pt>
              </c:strCache>
            </c:strRef>
          </c:tx>
          <c:dLbls>
            <c:dLbl>
              <c:idx val="0"/>
              <c:layout>
                <c:manualLayout>
                  <c:x val="-1.1674252302857048E-2"/>
                  <c:y val="-3.9957555506364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369276292692713E-5"/>
                  <c:y val="4.4918431380816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2896459200561709E-3"/>
                  <c:y val="5.296707389487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Struktura!$B$128:$B$130</c:f>
              <c:strCache>
                <c:ptCount val="3"/>
                <c:pt idx="0">
                  <c:v>Tak, strop/dach dobrze ocieplony</c:v>
                </c:pt>
                <c:pt idx="1">
                  <c:v>Tak, strop/dach częściowo ocieplony</c:v>
                </c:pt>
                <c:pt idx="2">
                  <c:v>Nie, strop/dach nie ocieplony</c:v>
                </c:pt>
              </c:strCache>
            </c:strRef>
          </c:cat>
          <c:val>
            <c:numRef>
              <c:f>Struktura!$C$128:$C$130</c:f>
              <c:numCache>
                <c:formatCode>0.0</c:formatCode>
                <c:ptCount val="3"/>
                <c:pt idx="0">
                  <c:v>26.3</c:v>
                </c:pt>
                <c:pt idx="1">
                  <c:v>16.3</c:v>
                </c:pt>
                <c:pt idx="2">
                  <c:v>57.4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6378684153334335"/>
          <c:y val="0.35062524814920221"/>
          <c:w val="0.41498173596134874"/>
          <c:h val="0.38128190803458806"/>
        </c:manualLayout>
      </c:layout>
      <c:overlay val="0"/>
      <c:txPr>
        <a:bodyPr/>
        <a:lstStyle/>
        <a:p>
          <a:pPr rtl="0">
            <a:defRPr sz="1050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Ludność!$D$5:$I$5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Ludność!$D$6:$I$6</c:f>
              <c:numCache>
                <c:formatCode>General</c:formatCode>
                <c:ptCount val="6"/>
                <c:pt idx="0">
                  <c:v>4239</c:v>
                </c:pt>
                <c:pt idx="1">
                  <c:v>4330</c:v>
                </c:pt>
                <c:pt idx="2">
                  <c:v>4315</c:v>
                </c:pt>
                <c:pt idx="3">
                  <c:v>4252</c:v>
                </c:pt>
                <c:pt idx="4">
                  <c:v>4222</c:v>
                </c:pt>
                <c:pt idx="5">
                  <c:v>4203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734568"/>
        <c:axId val="168735744"/>
      </c:lineChart>
      <c:catAx>
        <c:axId val="168734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8735744"/>
        <c:crosses val="autoZero"/>
        <c:auto val="1"/>
        <c:lblAlgn val="ctr"/>
        <c:lblOffset val="100"/>
        <c:noMultiLvlLbl val="0"/>
      </c:catAx>
      <c:valAx>
        <c:axId val="16873574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8734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569595</xdr:colOff>
      <xdr:row>4</xdr:row>
      <xdr:rowOff>104775</xdr:rowOff>
    </xdr:from>
    <xdr:to>
      <xdr:col>8</xdr:col>
      <xdr:colOff>539115</xdr:colOff>
      <xdr:row>20</xdr:row>
      <xdr:rowOff>146685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22</xdr:row>
      <xdr:rowOff>142875</xdr:rowOff>
    </xdr:from>
    <xdr:to>
      <xdr:col>8</xdr:col>
      <xdr:colOff>455295</xdr:colOff>
      <xdr:row>45</xdr:row>
      <xdr:rowOff>22860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561975</xdr:colOff>
      <xdr:row>47</xdr:row>
      <xdr:rowOff>38100</xdr:rowOff>
    </xdr:from>
    <xdr:to>
      <xdr:col>8</xdr:col>
      <xdr:colOff>550545</xdr:colOff>
      <xdr:row>62</xdr:row>
      <xdr:rowOff>80010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64</xdr:row>
      <xdr:rowOff>47625</xdr:rowOff>
    </xdr:from>
    <xdr:to>
      <xdr:col>8</xdr:col>
      <xdr:colOff>579120</xdr:colOff>
      <xdr:row>79</xdr:row>
      <xdr:rowOff>89535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554355</xdr:colOff>
      <xdr:row>80</xdr:row>
      <xdr:rowOff>11430</xdr:rowOff>
    </xdr:from>
    <xdr:to>
      <xdr:col>8</xdr:col>
      <xdr:colOff>523875</xdr:colOff>
      <xdr:row>116</xdr:row>
      <xdr:rowOff>53340</xdr:rowOff>
    </xdr:to>
    <xdr:graphicFrame macro="">
      <xdr:nvGraphicFramePr>
        <xdr:cNvPr id="7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91440</xdr:colOff>
      <xdr:row>116</xdr:row>
      <xdr:rowOff>129540</xdr:rowOff>
    </xdr:from>
    <xdr:to>
      <xdr:col>9</xdr:col>
      <xdr:colOff>80010</xdr:colOff>
      <xdr:row>133</xdr:row>
      <xdr:rowOff>5715</xdr:rowOff>
    </xdr:to>
    <xdr:graphicFrame macro="">
      <xdr:nvGraphicFramePr>
        <xdr:cNvPr id="8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11</xdr:row>
      <xdr:rowOff>19050</xdr:rowOff>
    </xdr:from>
    <xdr:to>
      <xdr:col>12</xdr:col>
      <xdr:colOff>53340</xdr:colOff>
      <xdr:row>27</xdr:row>
      <xdr:rowOff>80010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31"/>
  <sheetViews>
    <sheetView showGridLines="0" zoomScaleNormal="100" workbookViewId="0">
      <pane ySplit="4" topLeftCell="A66" activePane="bottomLeft" state="frozen"/>
      <selection pane="bottomLeft" activeCell="K114" sqref="K114"/>
    </sheetView>
  </sheetViews>
  <sheetFormatPr defaultColWidth="8.85546875" defaultRowHeight="12.75" x14ac:dyDescent="0.2"/>
  <cols>
    <col min="1" max="1" width="8.85546875" style="34"/>
    <col min="2" max="2" width="62.28515625" style="34" customWidth="1"/>
    <col min="3" max="5" width="8.85546875" style="34"/>
    <col min="6" max="6" width="34.7109375" style="34" bestFit="1" customWidth="1"/>
    <col min="7" max="16384" width="8.85546875" style="34"/>
  </cols>
  <sheetData>
    <row r="2" spans="2:9" ht="15.75" x14ac:dyDescent="0.25">
      <c r="B2" s="112" t="s">
        <v>171</v>
      </c>
      <c r="C2" s="112"/>
      <c r="D2" s="112"/>
      <c r="E2" s="112"/>
      <c r="F2" s="112"/>
      <c r="G2" s="112"/>
      <c r="H2" s="112"/>
      <c r="I2" s="112"/>
    </row>
    <row r="3" spans="2:9" ht="15.75" x14ac:dyDescent="0.25">
      <c r="B3" s="112" t="s">
        <v>175</v>
      </c>
      <c r="C3" s="112"/>
      <c r="D3" s="112"/>
      <c r="E3" s="112"/>
      <c r="F3" s="112"/>
      <c r="G3" s="112"/>
      <c r="H3" s="112"/>
      <c r="I3" s="112"/>
    </row>
    <row r="9" spans="2:9" ht="16.5" x14ac:dyDescent="0.3">
      <c r="B9" s="106" t="s">
        <v>0</v>
      </c>
      <c r="C9" s="107" t="s">
        <v>86</v>
      </c>
    </row>
    <row r="10" spans="2:9" ht="16.5" x14ac:dyDescent="0.3">
      <c r="B10" s="108" t="s">
        <v>11</v>
      </c>
      <c r="C10" s="109">
        <v>18</v>
      </c>
    </row>
    <row r="11" spans="2:9" ht="16.5" x14ac:dyDescent="0.3">
      <c r="B11" s="108" t="s">
        <v>16</v>
      </c>
      <c r="C11" s="109">
        <v>1</v>
      </c>
    </row>
    <row r="12" spans="2:9" ht="16.5" x14ac:dyDescent="0.3">
      <c r="B12" s="110" t="s">
        <v>8</v>
      </c>
      <c r="C12" s="109">
        <v>80</v>
      </c>
    </row>
    <row r="13" spans="2:9" ht="16.5" x14ac:dyDescent="0.3">
      <c r="B13" s="108" t="s">
        <v>21</v>
      </c>
      <c r="C13" s="109">
        <v>1</v>
      </c>
    </row>
    <row r="14" spans="2:9" ht="16.5" x14ac:dyDescent="0.3">
      <c r="B14" s="107" t="s">
        <v>42</v>
      </c>
      <c r="C14" s="106">
        <f>SUM(C10:C13)</f>
        <v>100</v>
      </c>
    </row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4" spans="2:3" ht="16.5" x14ac:dyDescent="0.3">
      <c r="B34" s="106" t="s">
        <v>1</v>
      </c>
      <c r="C34" s="107" t="s">
        <v>86</v>
      </c>
    </row>
    <row r="35" spans="2:3" ht="16.5" x14ac:dyDescent="0.3">
      <c r="B35" s="108" t="s">
        <v>12</v>
      </c>
      <c r="C35" s="111">
        <v>7.6</v>
      </c>
    </row>
    <row r="36" spans="2:3" ht="16.5" x14ac:dyDescent="0.3">
      <c r="B36" s="108" t="s">
        <v>15</v>
      </c>
      <c r="C36" s="111">
        <v>7.4</v>
      </c>
    </row>
    <row r="37" spans="2:3" ht="16.5" x14ac:dyDescent="0.3">
      <c r="B37" s="108" t="s">
        <v>13</v>
      </c>
      <c r="C37" s="111">
        <v>0.6</v>
      </c>
    </row>
    <row r="38" spans="2:3" ht="16.5" x14ac:dyDescent="0.3">
      <c r="B38" s="108" t="s">
        <v>22</v>
      </c>
      <c r="C38" s="111">
        <f>83.3-4.3-2.6</f>
        <v>76.400000000000006</v>
      </c>
    </row>
    <row r="39" spans="2:3" ht="16.5" x14ac:dyDescent="0.3">
      <c r="B39" s="108" t="s">
        <v>24</v>
      </c>
      <c r="C39" s="111">
        <v>3.2</v>
      </c>
    </row>
    <row r="40" spans="2:3" ht="16.5" x14ac:dyDescent="0.3">
      <c r="B40" s="108" t="s">
        <v>23</v>
      </c>
      <c r="C40" s="111">
        <v>4.8</v>
      </c>
    </row>
    <row r="41" spans="2:3" ht="16.5" hidden="1" x14ac:dyDescent="0.3">
      <c r="B41" s="108"/>
      <c r="C41" s="111"/>
    </row>
    <row r="42" spans="2:3" ht="16.5" x14ac:dyDescent="0.3">
      <c r="B42" s="107" t="s">
        <v>42</v>
      </c>
      <c r="C42" s="106">
        <f>SUM(C35:C41)</f>
        <v>100</v>
      </c>
    </row>
    <row r="43" spans="2:3" x14ac:dyDescent="0.2">
      <c r="B43" s="66"/>
      <c r="C43" s="38"/>
    </row>
    <row r="44" spans="2:3" x14ac:dyDescent="0.2">
      <c r="B44" s="66"/>
      <c r="C44" s="38"/>
    </row>
    <row r="45" spans="2:3" x14ac:dyDescent="0.2">
      <c r="B45" s="66"/>
      <c r="C45" s="38"/>
    </row>
    <row r="46" spans="2:3" x14ac:dyDescent="0.2">
      <c r="B46" s="66"/>
      <c r="C46" s="38"/>
    </row>
    <row r="47" spans="2:3" x14ac:dyDescent="0.2">
      <c r="B47" s="66"/>
      <c r="C47" s="38"/>
    </row>
    <row r="48" spans="2:3" x14ac:dyDescent="0.2">
      <c r="B48" s="66"/>
      <c r="C48" s="38"/>
    </row>
    <row r="49" spans="2:3" x14ac:dyDescent="0.2">
      <c r="B49" s="66"/>
      <c r="C49" s="38"/>
    </row>
    <row r="50" spans="2:3" x14ac:dyDescent="0.2">
      <c r="B50" s="66"/>
      <c r="C50" s="38"/>
    </row>
    <row r="52" spans="2:3" ht="16.5" x14ac:dyDescent="0.3">
      <c r="B52" s="106" t="s">
        <v>2</v>
      </c>
      <c r="C52" s="107" t="s">
        <v>86</v>
      </c>
    </row>
    <row r="53" spans="2:3" ht="16.5" x14ac:dyDescent="0.3">
      <c r="B53" s="108" t="s">
        <v>12</v>
      </c>
      <c r="C53" s="111">
        <v>10.3</v>
      </c>
    </row>
    <row r="54" spans="2:3" ht="16.5" x14ac:dyDescent="0.3">
      <c r="B54" s="108" t="s">
        <v>15</v>
      </c>
      <c r="C54" s="111">
        <v>11.2</v>
      </c>
    </row>
    <row r="55" spans="2:3" ht="16.5" x14ac:dyDescent="0.3">
      <c r="B55" s="108" t="s">
        <v>25</v>
      </c>
      <c r="C55" s="111">
        <v>1.9</v>
      </c>
    </row>
    <row r="56" spans="2:3" ht="16.5" x14ac:dyDescent="0.3">
      <c r="B56" s="108" t="s">
        <v>13</v>
      </c>
      <c r="C56" s="111">
        <v>19.899999999999999</v>
      </c>
    </row>
    <row r="57" spans="2:3" ht="16.5" x14ac:dyDescent="0.3">
      <c r="B57" s="108" t="s">
        <v>22</v>
      </c>
      <c r="C57" s="111">
        <v>51.8</v>
      </c>
    </row>
    <row r="58" spans="2:3" ht="16.5" x14ac:dyDescent="0.3">
      <c r="B58" s="108" t="s">
        <v>24</v>
      </c>
      <c r="C58" s="111">
        <v>3.2</v>
      </c>
    </row>
    <row r="59" spans="2:3" ht="16.5" x14ac:dyDescent="0.3">
      <c r="B59" s="108" t="s">
        <v>23</v>
      </c>
      <c r="C59" s="111">
        <v>1.7</v>
      </c>
    </row>
    <row r="60" spans="2:3" ht="16.5" x14ac:dyDescent="0.3">
      <c r="B60" s="107" t="s">
        <v>42</v>
      </c>
      <c r="C60" s="106">
        <f>SUM(C53:C59)</f>
        <v>100</v>
      </c>
    </row>
    <row r="61" spans="2:3" x14ac:dyDescent="0.2">
      <c r="B61" s="66"/>
      <c r="C61" s="38"/>
    </row>
    <row r="62" spans="2:3" x14ac:dyDescent="0.2">
      <c r="B62" s="66"/>
      <c r="C62" s="38"/>
    </row>
    <row r="63" spans="2:3" x14ac:dyDescent="0.2">
      <c r="B63" s="66"/>
      <c r="C63" s="38"/>
    </row>
    <row r="64" spans="2:3" x14ac:dyDescent="0.2">
      <c r="B64" s="66"/>
      <c r="C64" s="38"/>
    </row>
    <row r="65" spans="2:3" x14ac:dyDescent="0.2">
      <c r="B65" s="66"/>
      <c r="C65" s="38"/>
    </row>
    <row r="69" spans="2:3" ht="16.5" x14ac:dyDescent="0.3">
      <c r="B69" s="106" t="s">
        <v>3</v>
      </c>
      <c r="C69" s="107" t="s">
        <v>86</v>
      </c>
    </row>
    <row r="70" spans="2:3" ht="16.5" x14ac:dyDescent="0.3">
      <c r="B70" s="108" t="s">
        <v>12</v>
      </c>
      <c r="C70" s="108">
        <v>0.6</v>
      </c>
    </row>
    <row r="71" spans="2:3" ht="16.5" x14ac:dyDescent="0.3">
      <c r="B71" s="108" t="s">
        <v>15</v>
      </c>
      <c r="C71" s="111">
        <v>0</v>
      </c>
    </row>
    <row r="72" spans="2:3" ht="16.5" x14ac:dyDescent="0.3">
      <c r="B72" s="108" t="s">
        <v>25</v>
      </c>
      <c r="C72" s="111">
        <v>0</v>
      </c>
    </row>
    <row r="73" spans="2:3" ht="16.5" x14ac:dyDescent="0.3">
      <c r="B73" s="108" t="s">
        <v>13</v>
      </c>
      <c r="C73" s="111">
        <v>13.2</v>
      </c>
    </row>
    <row r="74" spans="2:3" ht="16.5" x14ac:dyDescent="0.3">
      <c r="B74" s="108" t="s">
        <v>22</v>
      </c>
      <c r="C74" s="111">
        <v>8</v>
      </c>
    </row>
    <row r="75" spans="2:3" ht="16.5" x14ac:dyDescent="0.3">
      <c r="B75" s="108" t="s">
        <v>24</v>
      </c>
      <c r="C75" s="111">
        <v>0</v>
      </c>
    </row>
    <row r="76" spans="2:3" ht="16.5" x14ac:dyDescent="0.3">
      <c r="B76" s="108" t="s">
        <v>23</v>
      </c>
      <c r="C76" s="111">
        <v>78.2</v>
      </c>
    </row>
    <row r="77" spans="2:3" ht="16.5" x14ac:dyDescent="0.3">
      <c r="B77" s="107" t="s">
        <v>42</v>
      </c>
      <c r="C77" s="106">
        <f>SUM(C70:C76)</f>
        <v>100</v>
      </c>
    </row>
    <row r="78" spans="2:3" x14ac:dyDescent="0.2">
      <c r="B78" s="66"/>
      <c r="C78" s="38"/>
    </row>
    <row r="79" spans="2:3" x14ac:dyDescent="0.2">
      <c r="B79" s="66"/>
      <c r="C79" s="38"/>
    </row>
    <row r="80" spans="2:3" x14ac:dyDescent="0.2">
      <c r="B80" s="66"/>
      <c r="C80" s="38"/>
    </row>
    <row r="81" spans="2:3" x14ac:dyDescent="0.2">
      <c r="B81" s="66"/>
      <c r="C81" s="38"/>
    </row>
    <row r="82" spans="2:3" x14ac:dyDescent="0.2">
      <c r="B82" s="66"/>
      <c r="C82" s="38"/>
    </row>
    <row r="83" spans="2:3" x14ac:dyDescent="0.2">
      <c r="B83" s="66"/>
      <c r="C83" s="38"/>
    </row>
    <row r="84" spans="2:3" x14ac:dyDescent="0.2">
      <c r="B84" s="66"/>
      <c r="C84" s="38"/>
    </row>
    <row r="85" spans="2:3" x14ac:dyDescent="0.2">
      <c r="B85" s="66"/>
      <c r="C85" s="38"/>
    </row>
    <row r="88" spans="2:3" hidden="1" x14ac:dyDescent="0.2">
      <c r="B88" s="34" t="s">
        <v>4</v>
      </c>
      <c r="C88" s="34" t="s">
        <v>88</v>
      </c>
    </row>
    <row r="89" spans="2:3" hidden="1" x14ac:dyDescent="0.2">
      <c r="B89" s="34" t="s">
        <v>87</v>
      </c>
      <c r="C89" s="34" t="s">
        <v>88</v>
      </c>
    </row>
    <row r="90" spans="2:3" hidden="1" x14ac:dyDescent="0.2"/>
    <row r="91" spans="2:3" hidden="1" x14ac:dyDescent="0.2"/>
    <row r="92" spans="2:3" hidden="1" x14ac:dyDescent="0.2">
      <c r="B92" s="34" t="s">
        <v>5</v>
      </c>
      <c r="C92" s="34" t="s">
        <v>26</v>
      </c>
    </row>
    <row r="93" spans="2:3" hidden="1" x14ac:dyDescent="0.2"/>
    <row r="94" spans="2:3" hidden="1" x14ac:dyDescent="0.2"/>
    <row r="95" spans="2:3" hidden="1" x14ac:dyDescent="0.2"/>
    <row r="96" spans="2:3" hidden="1" x14ac:dyDescent="0.2"/>
    <row r="97" spans="2:3" hidden="1" x14ac:dyDescent="0.2">
      <c r="B97" s="34" t="s">
        <v>18</v>
      </c>
      <c r="C97" s="34" t="s">
        <v>27</v>
      </c>
    </row>
    <row r="98" spans="2:3" hidden="1" x14ac:dyDescent="0.2">
      <c r="B98" s="34" t="s">
        <v>6</v>
      </c>
      <c r="C98" s="34" t="s">
        <v>27</v>
      </c>
    </row>
    <row r="99" spans="2:3" hidden="1" x14ac:dyDescent="0.2">
      <c r="B99" s="67" t="s">
        <v>19</v>
      </c>
      <c r="C99" s="34" t="s">
        <v>27</v>
      </c>
    </row>
    <row r="100" spans="2:3" hidden="1" x14ac:dyDescent="0.2"/>
    <row r="101" spans="2:3" hidden="1" x14ac:dyDescent="0.2"/>
    <row r="102" spans="2:3" hidden="1" x14ac:dyDescent="0.2"/>
    <row r="103" spans="2:3" hidden="1" x14ac:dyDescent="0.2"/>
    <row r="104" spans="2:3" hidden="1" x14ac:dyDescent="0.2"/>
    <row r="105" spans="2:3" hidden="1" x14ac:dyDescent="0.2"/>
    <row r="106" spans="2:3" hidden="1" x14ac:dyDescent="0.2"/>
    <row r="107" spans="2:3" hidden="1" x14ac:dyDescent="0.2"/>
    <row r="108" spans="2:3" ht="16.5" x14ac:dyDescent="0.3">
      <c r="B108" s="106" t="s">
        <v>7</v>
      </c>
      <c r="C108" s="107" t="s">
        <v>86</v>
      </c>
    </row>
    <row r="109" spans="2:3" ht="16.5" x14ac:dyDescent="0.3">
      <c r="B109" s="108" t="s">
        <v>14</v>
      </c>
      <c r="C109" s="111">
        <v>30.8</v>
      </c>
    </row>
    <row r="110" spans="2:3" ht="16.5" x14ac:dyDescent="0.3">
      <c r="B110" s="110" t="s">
        <v>9</v>
      </c>
      <c r="C110" s="111">
        <v>21.5</v>
      </c>
    </row>
    <row r="111" spans="2:3" ht="16.5" x14ac:dyDescent="0.3">
      <c r="B111" s="110" t="s">
        <v>10</v>
      </c>
      <c r="C111" s="111">
        <v>47.7</v>
      </c>
    </row>
    <row r="112" spans="2:3" ht="16.5" x14ac:dyDescent="0.3">
      <c r="B112" s="107" t="s">
        <v>42</v>
      </c>
      <c r="C112" s="106">
        <f>SUM(C109:C111)</f>
        <v>100</v>
      </c>
    </row>
    <row r="127" spans="2:3" ht="16.5" x14ac:dyDescent="0.3">
      <c r="B127" s="106" t="s">
        <v>20</v>
      </c>
      <c r="C127" s="107" t="s">
        <v>86</v>
      </c>
    </row>
    <row r="128" spans="2:3" ht="16.5" x14ac:dyDescent="0.3">
      <c r="B128" s="108" t="s">
        <v>172</v>
      </c>
      <c r="C128" s="111">
        <v>26.3</v>
      </c>
    </row>
    <row r="129" spans="2:3" ht="16.5" x14ac:dyDescent="0.3">
      <c r="B129" s="108" t="s">
        <v>173</v>
      </c>
      <c r="C129" s="111">
        <v>16.3</v>
      </c>
    </row>
    <row r="130" spans="2:3" ht="16.5" x14ac:dyDescent="0.3">
      <c r="B130" s="108" t="s">
        <v>174</v>
      </c>
      <c r="C130" s="111">
        <v>57.4</v>
      </c>
    </row>
    <row r="131" spans="2:3" ht="16.5" x14ac:dyDescent="0.3">
      <c r="B131" s="107" t="s">
        <v>42</v>
      </c>
      <c r="C131" s="106">
        <f>SUM(C128:C130)</f>
        <v>100</v>
      </c>
    </row>
  </sheetData>
  <mergeCells count="2">
    <mergeCell ref="B2:I2"/>
    <mergeCell ref="B3:I3"/>
  </mergeCells>
  <pageMargins left="0.98425196850393704" right="0.98425196850393704" top="0.98425196850393704" bottom="0.98425196850393704" header="0.51181102362204722" footer="0.51181102362204722"/>
  <pageSetup paperSize="9" scale="48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C20"/>
  <sheetViews>
    <sheetView showGridLines="0" workbookViewId="0">
      <selection activeCell="C26" sqref="C26"/>
    </sheetView>
  </sheetViews>
  <sheetFormatPr defaultRowHeight="12.75" x14ac:dyDescent="0.2"/>
  <cols>
    <col min="2" max="2" width="8.85546875" style="56"/>
    <col min="3" max="3" width="81.140625" customWidth="1"/>
  </cols>
  <sheetData>
    <row r="3" spans="2:3" ht="15.75" x14ac:dyDescent="0.25">
      <c r="B3" s="64" t="s">
        <v>168</v>
      </c>
      <c r="C3" s="65" t="s">
        <v>169</v>
      </c>
    </row>
    <row r="4" spans="2:3" x14ac:dyDescent="0.2">
      <c r="B4" s="49">
        <v>1</v>
      </c>
      <c r="C4" s="60" t="str">
        <f>'Wskaźniki emisji'!C5</f>
        <v>Wskaźniki emisji</v>
      </c>
    </row>
    <row r="5" spans="2:3" x14ac:dyDescent="0.2">
      <c r="B5" s="49">
        <v>2</v>
      </c>
      <c r="C5" s="60" t="str">
        <f>'Samorząd emisja'!D4</f>
        <v>Porównanie emisji CO2 eq z działalności samorządowej w roku bazowym 2003 i roku 2013</v>
      </c>
    </row>
    <row r="6" spans="2:3" ht="25.5" x14ac:dyDescent="0.2">
      <c r="B6" s="49">
        <v>3</v>
      </c>
      <c r="C6" s="60" t="str">
        <f>'Samorząd emisja'!D31</f>
        <v>Porównanie zużycia energii z paliw i wielkość emisji z działalności samorządowej w roku bazowym 2003  i roku 2013</v>
      </c>
    </row>
    <row r="7" spans="2:3" x14ac:dyDescent="0.2">
      <c r="B7" s="49">
        <v>4</v>
      </c>
      <c r="C7" s="60" t="str">
        <f>'Samorząd emisja'!D79</f>
        <v>Całkowita emisja CO2eq z budynków – w tonach dwutlenku węgla (Mg CO2eq)</v>
      </c>
    </row>
    <row r="8" spans="2:3" x14ac:dyDescent="0.2">
      <c r="B8" s="49">
        <v>5</v>
      </c>
      <c r="C8" s="60" t="str">
        <f>'Samorząd emisja'!D92</f>
        <v>Całkowita emisja CO2eq z pojazdów – w tonach dwutlenku węgla (Mg CO2eq)</v>
      </c>
    </row>
    <row r="9" spans="2:3" x14ac:dyDescent="0.2">
      <c r="B9" s="49">
        <v>6</v>
      </c>
      <c r="C9" s="60" t="str">
        <f>'Samorząd emisja'!D105</f>
        <v>Całkowita emisja CO2eq z oświetlenia publicznego – w tonach dwutlenku węgla (Mg CO2eq)</v>
      </c>
    </row>
    <row r="10" spans="2:3" x14ac:dyDescent="0.2">
      <c r="B10" s="49">
        <v>7</v>
      </c>
      <c r="C10" s="60" t="str">
        <f>'Społeczeństwo emisja'!D4</f>
        <v>Porównanie emisji CO2 eq z działalności społeczeństwa w roku bazowym 2003 i roku 2013</v>
      </c>
    </row>
    <row r="11" spans="2:3" ht="25.5" x14ac:dyDescent="0.2">
      <c r="B11" s="49">
        <v>8</v>
      </c>
      <c r="C11" s="60" t="str">
        <f>'Społeczeństwo emisja'!D32</f>
        <v>Porównanie zużycia energii z paliw i wielkość emisji z działalności społeczeństwa w roku bazowym 2003 i roku 2013</v>
      </c>
    </row>
    <row r="12" spans="2:3" x14ac:dyDescent="0.2">
      <c r="B12" s="49">
        <v>9</v>
      </c>
      <c r="C12" s="60" t="str">
        <f>'Społeczeństwo emisja'!D75</f>
        <v>Całkowita emisja CO2eq z mieszkalnictwa – w tonach dwutlenku węgla (Mg CO2eq)</v>
      </c>
    </row>
    <row r="13" spans="2:3" ht="25.5" x14ac:dyDescent="0.2">
      <c r="B13" s="49">
        <v>10</v>
      </c>
      <c r="C13" s="60" t="str">
        <f>'Społeczeństwo emisja'!D87</f>
        <v>Całkowita emisja CO2eq z handlu, przemysłu i usług – w tonach dwutlenku węgla (Mg CO2eq)</v>
      </c>
    </row>
    <row r="14" spans="2:3" x14ac:dyDescent="0.2">
      <c r="B14" s="49">
        <v>11</v>
      </c>
      <c r="C14" s="60" t="str">
        <f>'Społeczeństwo emisja'!D100</f>
        <v>Całkowita emisja CO2eq z transportu – w tonach dwutlenku węgla (Mg CO2eq)</v>
      </c>
    </row>
    <row r="15" spans="2:3" x14ac:dyDescent="0.2">
      <c r="B15" s="49">
        <v>12</v>
      </c>
      <c r="C15" s="60" t="str">
        <f>'Gmina emisja'!D5</f>
        <v>Całkowita emisja z terenu Gminy – w tonach dwutlenku węgla (Mg CO2eq)</v>
      </c>
    </row>
    <row r="16" spans="2:3" x14ac:dyDescent="0.2">
      <c r="B16" s="49">
        <v>13</v>
      </c>
      <c r="C16" s="60" t="str">
        <f>'Plan działań'!D13</f>
        <v>Całkowita emisja z terenu gminy – w tonach dwutlenku węgla (Mg CO2eq)/rok</v>
      </c>
    </row>
    <row r="17" spans="2:3" x14ac:dyDescent="0.2">
      <c r="B17" s="49">
        <v>14</v>
      </c>
      <c r="C17" s="60" t="str">
        <f>'Plan działań'!D44</f>
        <v>Całkowite zużycie energii MWh/rok</v>
      </c>
    </row>
    <row r="18" spans="2:3" x14ac:dyDescent="0.2">
      <c r="B18" s="49">
        <v>15</v>
      </c>
      <c r="C18" s="60" t="str">
        <f>'Plan działań'!D71</f>
        <v>Całkowite zużycie energii z OZE MWh/rok</v>
      </c>
    </row>
    <row r="19" spans="2:3" x14ac:dyDescent="0.2">
      <c r="B19" s="49">
        <v>16</v>
      </c>
      <c r="C19" s="60" t="str">
        <f>'Harmonogram uzg. z UG '!B4</f>
        <v>Harmonogram działań</v>
      </c>
    </row>
    <row r="20" spans="2:3" x14ac:dyDescent="0.2">
      <c r="B20" s="49">
        <v>17</v>
      </c>
      <c r="C20" s="60" t="str">
        <f>'Weryfikacja harmonogramu'!C6</f>
        <v>Weryfikacja wdrażania harmonogramu</v>
      </c>
    </row>
  </sheetData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1"/>
  <sheetViews>
    <sheetView showGridLines="0" workbookViewId="0">
      <pane ySplit="3" topLeftCell="A4" activePane="bottomLeft" state="frozen"/>
      <selection pane="bottomLeft" activeCell="G13" sqref="G13"/>
    </sheetView>
  </sheetViews>
  <sheetFormatPr defaultRowHeight="12.75" x14ac:dyDescent="0.2"/>
  <cols>
    <col min="4" max="4" width="17.42578125" customWidth="1"/>
    <col min="5" max="6" width="10.85546875" customWidth="1"/>
    <col min="7" max="7" width="9.7109375" customWidth="1"/>
    <col min="8" max="8" width="9.42578125" bestFit="1" customWidth="1"/>
    <col min="10" max="10" width="9.85546875" customWidth="1"/>
  </cols>
  <sheetData>
    <row r="3" spans="2:12" ht="15.75" x14ac:dyDescent="0.2">
      <c r="B3" s="114" t="s">
        <v>28</v>
      </c>
      <c r="C3" s="114" t="s">
        <v>28</v>
      </c>
      <c r="D3" s="114"/>
      <c r="E3" s="114"/>
      <c r="F3" s="114"/>
      <c r="G3" s="114"/>
      <c r="H3" s="114"/>
    </row>
    <row r="5" spans="2:12" x14ac:dyDescent="0.2">
      <c r="B5" s="1" t="s">
        <v>43</v>
      </c>
      <c r="C5" s="1" t="s">
        <v>28</v>
      </c>
      <c r="D5" s="1"/>
      <c r="E5" s="1"/>
      <c r="F5" s="1"/>
      <c r="G5" s="1"/>
      <c r="H5" s="1"/>
    </row>
    <row r="6" spans="2:12" s="7" customFormat="1" ht="25.5" x14ac:dyDescent="0.2">
      <c r="C6" s="24" t="s">
        <v>31</v>
      </c>
      <c r="D6" s="24" t="s">
        <v>95</v>
      </c>
      <c r="E6" s="113" t="s">
        <v>96</v>
      </c>
      <c r="F6" s="113"/>
      <c r="G6" s="113" t="s">
        <v>106</v>
      </c>
      <c r="H6" s="113"/>
      <c r="K6" s="69"/>
      <c r="L6" s="69"/>
    </row>
    <row r="7" spans="2:12" x14ac:dyDescent="0.2">
      <c r="C7" s="20">
        <v>1</v>
      </c>
      <c r="D7" s="70" t="s">
        <v>17</v>
      </c>
      <c r="E7" s="9">
        <v>35.950000000000003</v>
      </c>
      <c r="F7" s="11" t="s">
        <v>97</v>
      </c>
      <c r="G7" s="10">
        <v>58.4</v>
      </c>
      <c r="H7" s="11" t="s">
        <v>98</v>
      </c>
      <c r="J7" s="2"/>
    </row>
    <row r="8" spans="2:12" x14ac:dyDescent="0.2">
      <c r="C8" s="21"/>
      <c r="D8" s="26"/>
      <c r="E8" s="12"/>
      <c r="F8" s="14"/>
      <c r="G8" s="13">
        <v>1.45</v>
      </c>
      <c r="H8" s="14" t="s">
        <v>99</v>
      </c>
      <c r="J8" s="2"/>
    </row>
    <row r="9" spans="2:12" x14ac:dyDescent="0.2">
      <c r="C9" s="22"/>
      <c r="D9" s="27"/>
      <c r="E9" s="15"/>
      <c r="F9" s="17"/>
      <c r="G9" s="16">
        <v>0.20200000000000001</v>
      </c>
      <c r="H9" s="17" t="s">
        <v>100</v>
      </c>
      <c r="J9" s="2"/>
    </row>
    <row r="10" spans="2:12" x14ac:dyDescent="0.2">
      <c r="C10" s="20">
        <v>2</v>
      </c>
      <c r="D10" s="25" t="s">
        <v>101</v>
      </c>
      <c r="E10" s="9">
        <v>47.31</v>
      </c>
      <c r="F10" s="11" t="s">
        <v>102</v>
      </c>
      <c r="G10" s="10">
        <v>68.61</v>
      </c>
      <c r="H10" s="11" t="s">
        <v>98</v>
      </c>
      <c r="J10" s="2"/>
    </row>
    <row r="11" spans="2:12" x14ac:dyDescent="0.2">
      <c r="C11" s="22"/>
      <c r="D11" s="27"/>
      <c r="E11" s="15"/>
      <c r="F11" s="17"/>
      <c r="G11" s="16">
        <v>0.247</v>
      </c>
      <c r="H11" s="17" t="s">
        <v>100</v>
      </c>
      <c r="J11" s="2"/>
    </row>
    <row r="12" spans="2:12" x14ac:dyDescent="0.2">
      <c r="C12" s="20">
        <v>3</v>
      </c>
      <c r="D12" s="25" t="s">
        <v>54</v>
      </c>
      <c r="E12" s="9">
        <v>44.8</v>
      </c>
      <c r="F12" s="11" t="s">
        <v>102</v>
      </c>
      <c r="G12" s="10">
        <v>68.61</v>
      </c>
      <c r="H12" s="11" t="s">
        <v>98</v>
      </c>
      <c r="J12" s="2"/>
      <c r="K12" s="2"/>
    </row>
    <row r="13" spans="2:12" x14ac:dyDescent="0.2">
      <c r="C13" s="22"/>
      <c r="D13" s="27"/>
      <c r="E13" s="15"/>
      <c r="F13" s="17"/>
      <c r="G13" s="16">
        <v>0.248</v>
      </c>
      <c r="H13" s="17" t="s">
        <v>100</v>
      </c>
    </row>
    <row r="14" spans="2:12" x14ac:dyDescent="0.2">
      <c r="C14" s="20">
        <v>4</v>
      </c>
      <c r="D14" s="25" t="s">
        <v>53</v>
      </c>
      <c r="E14" s="9">
        <v>43.33</v>
      </c>
      <c r="F14" s="11" t="s">
        <v>102</v>
      </c>
      <c r="G14" s="10">
        <v>73.33</v>
      </c>
      <c r="H14" s="11" t="s">
        <v>98</v>
      </c>
    </row>
    <row r="15" spans="2:12" x14ac:dyDescent="0.2">
      <c r="C15" s="22"/>
      <c r="D15" s="27"/>
      <c r="E15" s="15"/>
      <c r="F15" s="17"/>
      <c r="G15" s="16">
        <v>0.26500000000000001</v>
      </c>
      <c r="H15" s="17" t="s">
        <v>100</v>
      </c>
    </row>
    <row r="16" spans="2:12" x14ac:dyDescent="0.2">
      <c r="C16" s="20">
        <v>5</v>
      </c>
      <c r="D16" s="25" t="s">
        <v>103</v>
      </c>
      <c r="E16" s="9">
        <v>28.2</v>
      </c>
      <c r="F16" s="11" t="s">
        <v>102</v>
      </c>
      <c r="G16" s="10">
        <v>106</v>
      </c>
      <c r="H16" s="11" t="s">
        <v>98</v>
      </c>
    </row>
    <row r="17" spans="3:8" x14ac:dyDescent="0.2">
      <c r="C17" s="22"/>
      <c r="D17" s="27"/>
      <c r="E17" s="15"/>
      <c r="F17" s="17"/>
      <c r="G17" s="16">
        <v>0.38200000000000001</v>
      </c>
      <c r="H17" s="17" t="s">
        <v>100</v>
      </c>
    </row>
    <row r="18" spans="3:8" x14ac:dyDescent="0.2">
      <c r="C18" s="20">
        <v>6</v>
      </c>
      <c r="D18" s="25" t="s">
        <v>104</v>
      </c>
      <c r="E18" s="9">
        <v>15.6</v>
      </c>
      <c r="F18" s="11" t="s">
        <v>102</v>
      </c>
      <c r="G18" s="10">
        <v>109.76</v>
      </c>
      <c r="H18" s="11" t="s">
        <v>98</v>
      </c>
    </row>
    <row r="19" spans="3:8" x14ac:dyDescent="0.2">
      <c r="C19" s="22"/>
      <c r="D19" s="27"/>
      <c r="E19" s="15"/>
      <c r="F19" s="17"/>
      <c r="G19" s="16">
        <v>0</v>
      </c>
      <c r="H19" s="17" t="s">
        <v>100</v>
      </c>
    </row>
    <row r="20" spans="3:8" x14ac:dyDescent="0.2">
      <c r="C20" s="23">
        <v>7</v>
      </c>
      <c r="D20" s="8" t="s">
        <v>13</v>
      </c>
      <c r="E20" s="28" t="s">
        <v>105</v>
      </c>
      <c r="F20" s="19"/>
      <c r="G20" s="18">
        <v>0.81200000000000006</v>
      </c>
      <c r="H20" s="19" t="s">
        <v>100</v>
      </c>
    </row>
    <row r="21" spans="3:8" x14ac:dyDescent="0.2">
      <c r="C21" s="22">
        <v>8</v>
      </c>
      <c r="D21" s="89" t="s">
        <v>22</v>
      </c>
      <c r="E21" s="28">
        <v>21.22</v>
      </c>
      <c r="F21" s="19" t="s">
        <v>102</v>
      </c>
      <c r="G21" s="18">
        <v>0.33800000000000002</v>
      </c>
      <c r="H21" s="19" t="s">
        <v>100</v>
      </c>
    </row>
  </sheetData>
  <mergeCells count="3">
    <mergeCell ref="E6:F6"/>
    <mergeCell ref="G6:H6"/>
    <mergeCell ref="B3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11"/>
  <sheetViews>
    <sheetView showGridLines="0" zoomScaleNormal="100" workbookViewId="0">
      <pane xSplit="1" ySplit="2" topLeftCell="B82" activePane="bottomRight" state="frozen"/>
      <selection pane="topRight" activeCell="B1" sqref="B1"/>
      <selection pane="bottomLeft" activeCell="A3" sqref="A3"/>
      <selection pane="bottomRight" activeCell="H10" sqref="H10"/>
    </sheetView>
  </sheetViews>
  <sheetFormatPr defaultColWidth="8.85546875" defaultRowHeight="12.75" x14ac:dyDescent="0.2"/>
  <cols>
    <col min="1" max="2" width="8.85546875" style="34"/>
    <col min="3" max="3" width="3.42578125" style="41" customWidth="1"/>
    <col min="4" max="4" width="52.140625" style="34" customWidth="1"/>
    <col min="5" max="5" width="15.42578125" style="34" bestFit="1" customWidth="1"/>
    <col min="6" max="6" width="14.42578125" style="34" bestFit="1" customWidth="1"/>
    <col min="7" max="7" width="17.85546875" style="34" customWidth="1"/>
    <col min="8" max="8" width="16.140625" style="34" customWidth="1"/>
    <col min="9" max="9" width="10.28515625" style="34" customWidth="1"/>
    <col min="10" max="16384" width="8.85546875" style="34"/>
  </cols>
  <sheetData>
    <row r="2" spans="2:8" ht="15.75" x14ac:dyDescent="0.25">
      <c r="B2" s="112" t="s">
        <v>72</v>
      </c>
      <c r="C2" s="112"/>
      <c r="D2" s="112"/>
      <c r="E2" s="112"/>
      <c r="F2" s="112"/>
      <c r="G2" s="112"/>
    </row>
    <row r="4" spans="2:8" ht="15" x14ac:dyDescent="0.25">
      <c r="B4" s="163" t="s">
        <v>44</v>
      </c>
      <c r="C4" s="164"/>
      <c r="D4" s="163" t="s">
        <v>317</v>
      </c>
      <c r="E4" s="160"/>
    </row>
    <row r="7" spans="2:8" s="36" customFormat="1" ht="42.75" x14ac:dyDescent="0.2">
      <c r="C7" s="137" t="s">
        <v>31</v>
      </c>
      <c r="D7" s="137" t="s">
        <v>32</v>
      </c>
      <c r="E7" s="138" t="s">
        <v>33</v>
      </c>
      <c r="F7" s="138" t="s">
        <v>30</v>
      </c>
      <c r="G7" s="138" t="s">
        <v>121</v>
      </c>
      <c r="H7" s="35"/>
    </row>
    <row r="8" spans="2:8" ht="16.5" x14ac:dyDescent="0.3">
      <c r="C8" s="139"/>
      <c r="D8" s="139"/>
      <c r="E8" s="140" t="s">
        <v>29</v>
      </c>
      <c r="F8" s="140" t="s">
        <v>318</v>
      </c>
      <c r="G8" s="140" t="s">
        <v>35</v>
      </c>
    </row>
    <row r="9" spans="2:8" s="37" customFormat="1" ht="15" x14ac:dyDescent="0.2">
      <c r="C9" s="141">
        <v>1</v>
      </c>
      <c r="D9" s="141">
        <v>2</v>
      </c>
      <c r="E9" s="141">
        <v>3</v>
      </c>
      <c r="F9" s="141">
        <v>4</v>
      </c>
      <c r="G9" s="141">
        <v>5</v>
      </c>
    </row>
    <row r="10" spans="2:8" s="37" customFormat="1" ht="14.25" x14ac:dyDescent="0.2">
      <c r="C10" s="142" t="s">
        <v>93</v>
      </c>
      <c r="D10" s="142"/>
      <c r="E10" s="142"/>
      <c r="F10" s="142"/>
      <c r="G10" s="142"/>
    </row>
    <row r="11" spans="2:8" ht="15" x14ac:dyDescent="0.25">
      <c r="C11" s="143">
        <v>1</v>
      </c>
      <c r="D11" s="144" t="s">
        <v>36</v>
      </c>
      <c r="E11" s="144">
        <v>418</v>
      </c>
      <c r="F11" s="144">
        <f>INT(E11*'Wskaźniki emisji'!G20)</f>
        <v>339</v>
      </c>
      <c r="G11" s="144">
        <f>INT(100*F11/$F$16)+1</f>
        <v>25</v>
      </c>
    </row>
    <row r="12" spans="2:8" ht="15" x14ac:dyDescent="0.25">
      <c r="C12" s="143">
        <v>2</v>
      </c>
      <c r="D12" s="144" t="s">
        <v>38</v>
      </c>
      <c r="E12" s="144">
        <v>52</v>
      </c>
      <c r="F12" s="144">
        <f>INT(E12*'Wskaźniki emisji'!G20)</f>
        <v>42</v>
      </c>
      <c r="G12" s="144">
        <f>INT(100*F12/$F$16)+1</f>
        <v>4</v>
      </c>
    </row>
    <row r="13" spans="2:8" ht="15" x14ac:dyDescent="0.25">
      <c r="C13" s="143">
        <v>3</v>
      </c>
      <c r="D13" s="144" t="s">
        <v>39</v>
      </c>
      <c r="E13" s="144">
        <v>2847</v>
      </c>
      <c r="F13" s="144">
        <f>INT(E13*'Wskaźniki emisji'!G21)</f>
        <v>962</v>
      </c>
      <c r="G13" s="144">
        <f>INT(100*F13/$F$16)-1</f>
        <v>68</v>
      </c>
    </row>
    <row r="14" spans="2:8" ht="15" x14ac:dyDescent="0.25">
      <c r="C14" s="143">
        <v>4</v>
      </c>
      <c r="D14" s="144" t="s">
        <v>40</v>
      </c>
      <c r="E14" s="144">
        <v>124</v>
      </c>
      <c r="F14" s="144">
        <f>INT(E14*'Wskaźniki emisji'!G15)</f>
        <v>32</v>
      </c>
      <c r="G14" s="144">
        <f>INT(100*F14/$F$16)+1</f>
        <v>3</v>
      </c>
    </row>
    <row r="15" spans="2:8" ht="13.9" hidden="1" customHeight="1" x14ac:dyDescent="0.25">
      <c r="C15" s="143">
        <v>5</v>
      </c>
      <c r="D15" s="144" t="s">
        <v>41</v>
      </c>
      <c r="E15" s="145" t="s">
        <v>105</v>
      </c>
      <c r="F15" s="144">
        <f>H46+H47</f>
        <v>0</v>
      </c>
      <c r="G15" s="144">
        <f t="shared" ref="G15" si="0">INT(100*F15/$F$16)</f>
        <v>0</v>
      </c>
    </row>
    <row r="16" spans="2:8" ht="13.15" customHeight="1" x14ac:dyDescent="0.2">
      <c r="C16" s="146" t="s">
        <v>42</v>
      </c>
      <c r="D16" s="146"/>
      <c r="E16" s="147">
        <f>SUM(E11:E15)</f>
        <v>3441</v>
      </c>
      <c r="F16" s="147">
        <f>SUM(F11:F15)</f>
        <v>1375</v>
      </c>
      <c r="G16" s="147">
        <f t="shared" ref="G16" si="1">SUM(G11:G15)</f>
        <v>100</v>
      </c>
    </row>
    <row r="17" spans="2:7" ht="14.25" x14ac:dyDescent="0.2">
      <c r="C17" s="148" t="s">
        <v>94</v>
      </c>
      <c r="D17" s="148"/>
      <c r="E17" s="148"/>
      <c r="F17" s="148"/>
      <c r="G17" s="148"/>
    </row>
    <row r="18" spans="2:7" ht="15" x14ac:dyDescent="0.25">
      <c r="C18" s="143">
        <v>1</v>
      </c>
      <c r="D18" s="144" t="s">
        <v>36</v>
      </c>
      <c r="E18" s="144">
        <v>437</v>
      </c>
      <c r="F18" s="144">
        <f>INT(E18*'Wskaźniki emisji'!G20)</f>
        <v>354</v>
      </c>
      <c r="G18" s="144">
        <f>INT(100*F18/$F$23)</f>
        <v>27</v>
      </c>
    </row>
    <row r="19" spans="2:7" ht="15" x14ac:dyDescent="0.25">
      <c r="C19" s="143">
        <v>2</v>
      </c>
      <c r="D19" s="144" t="s">
        <v>285</v>
      </c>
      <c r="E19" s="144">
        <v>287</v>
      </c>
      <c r="F19" s="144">
        <f>INT(E19*'Wskaźniki emisji'!G20)</f>
        <v>233</v>
      </c>
      <c r="G19" s="144">
        <f>INT(100*F19/$F$23)+1</f>
        <v>19</v>
      </c>
    </row>
    <row r="20" spans="2:7" ht="15" x14ac:dyDescent="0.25">
      <c r="C20" s="143">
        <v>3</v>
      </c>
      <c r="D20" s="144" t="s">
        <v>39</v>
      </c>
      <c r="E20" s="144">
        <v>1967</v>
      </c>
      <c r="F20" s="144">
        <f>INT(E20*'Wskaźniki emisji'!G21)</f>
        <v>664</v>
      </c>
      <c r="G20" s="144">
        <f>INT(100*F20/$F$23)</f>
        <v>51</v>
      </c>
    </row>
    <row r="21" spans="2:7" ht="15" x14ac:dyDescent="0.25">
      <c r="C21" s="143">
        <v>4</v>
      </c>
      <c r="D21" s="144" t="s">
        <v>40</v>
      </c>
      <c r="E21" s="144">
        <v>124</v>
      </c>
      <c r="F21" s="144">
        <f>INT(E21*'Wskaźniki emisji'!G15)</f>
        <v>32</v>
      </c>
      <c r="G21" s="144">
        <f>INT(100*F21/$F$23)+1</f>
        <v>3</v>
      </c>
    </row>
    <row r="22" spans="2:7" ht="13.9" hidden="1" customHeight="1" x14ac:dyDescent="0.25">
      <c r="C22" s="143">
        <v>5</v>
      </c>
      <c r="D22" s="144" t="s">
        <v>41</v>
      </c>
      <c r="E22" s="145" t="s">
        <v>105</v>
      </c>
      <c r="F22" s="144">
        <f>H59+H60</f>
        <v>0</v>
      </c>
      <c r="G22" s="144">
        <f t="shared" ref="G22" si="2">INT(100*F22/$F$23)</f>
        <v>0</v>
      </c>
    </row>
    <row r="23" spans="2:7" ht="13.15" customHeight="1" x14ac:dyDescent="0.2">
      <c r="C23" s="146" t="s">
        <v>42</v>
      </c>
      <c r="D23" s="146"/>
      <c r="E23" s="147">
        <f>SUM(E18:E22)</f>
        <v>2815</v>
      </c>
      <c r="F23" s="147">
        <f t="shared" ref="F23" si="3">SUM(F18:F22)</f>
        <v>1283</v>
      </c>
      <c r="G23" s="147">
        <f t="shared" ref="G23" si="4">SUM(G18:G22)</f>
        <v>100</v>
      </c>
    </row>
    <row r="24" spans="2:7" x14ac:dyDescent="0.2">
      <c r="C24" s="134" t="s">
        <v>65</v>
      </c>
    </row>
    <row r="25" spans="2:7" x14ac:dyDescent="0.2">
      <c r="C25" s="134" t="s">
        <v>66</v>
      </c>
    </row>
    <row r="26" spans="2:7" x14ac:dyDescent="0.2">
      <c r="C26" s="134" t="s">
        <v>119</v>
      </c>
    </row>
    <row r="31" spans="2:7" ht="15" x14ac:dyDescent="0.25">
      <c r="B31" s="162" t="s">
        <v>62</v>
      </c>
      <c r="C31" s="160"/>
      <c r="D31" s="163" t="s">
        <v>109</v>
      </c>
      <c r="E31" s="160"/>
      <c r="F31" s="160"/>
      <c r="G31" s="160"/>
    </row>
    <row r="32" spans="2:7" x14ac:dyDescent="0.2">
      <c r="D32" s="135"/>
    </row>
    <row r="33" spans="3:9" s="39" customFormat="1" ht="42.75" x14ac:dyDescent="0.2">
      <c r="C33" s="137" t="s">
        <v>31</v>
      </c>
      <c r="D33" s="137" t="s">
        <v>45</v>
      </c>
      <c r="E33" s="137" t="s">
        <v>58</v>
      </c>
      <c r="F33" s="137" t="s">
        <v>46</v>
      </c>
      <c r="G33" s="138" t="s">
        <v>117</v>
      </c>
      <c r="H33" s="138" t="s">
        <v>118</v>
      </c>
      <c r="I33" s="138" t="s">
        <v>120</v>
      </c>
    </row>
    <row r="34" spans="3:9" s="39" customFormat="1" ht="16.5" x14ac:dyDescent="0.3">
      <c r="C34" s="139"/>
      <c r="D34" s="139"/>
      <c r="E34" s="139"/>
      <c r="F34" s="139"/>
      <c r="G34" s="149" t="s">
        <v>29</v>
      </c>
      <c r="H34" s="140" t="s">
        <v>318</v>
      </c>
      <c r="I34" s="149" t="s">
        <v>35</v>
      </c>
    </row>
    <row r="35" spans="3:9" ht="15" x14ac:dyDescent="0.2">
      <c r="C35" s="141">
        <v>1</v>
      </c>
      <c r="D35" s="141">
        <v>2</v>
      </c>
      <c r="E35" s="141">
        <v>3</v>
      </c>
      <c r="F35" s="141">
        <v>4</v>
      </c>
      <c r="G35" s="141">
        <v>5</v>
      </c>
      <c r="H35" s="141">
        <v>6</v>
      </c>
      <c r="I35" s="141">
        <v>7</v>
      </c>
    </row>
    <row r="36" spans="3:9" ht="14.25" x14ac:dyDescent="0.2">
      <c r="C36" s="142" t="s">
        <v>93</v>
      </c>
      <c r="D36" s="142"/>
      <c r="E36" s="142"/>
      <c r="F36" s="142"/>
      <c r="G36" s="142"/>
      <c r="H36" s="142"/>
      <c r="I36" s="142"/>
    </row>
    <row r="37" spans="3:9" ht="15" x14ac:dyDescent="0.25">
      <c r="C37" s="150">
        <v>1</v>
      </c>
      <c r="D37" s="151" t="s">
        <v>13</v>
      </c>
      <c r="E37" s="144">
        <f>G37</f>
        <v>470</v>
      </c>
      <c r="F37" s="151" t="s">
        <v>49</v>
      </c>
      <c r="G37" s="152">
        <f>E11+E12</f>
        <v>470</v>
      </c>
      <c r="H37" s="152">
        <f>F11+F12</f>
        <v>381</v>
      </c>
      <c r="I37" s="144">
        <f>ROUND(100*H37/$H$48,0)</f>
        <v>28</v>
      </c>
    </row>
    <row r="38" spans="3:9" ht="18" x14ac:dyDescent="0.25">
      <c r="C38" s="150">
        <v>2</v>
      </c>
      <c r="D38" s="151" t="s">
        <v>17</v>
      </c>
      <c r="E38" s="144">
        <v>0</v>
      </c>
      <c r="F38" s="152" t="s">
        <v>319</v>
      </c>
      <c r="G38" s="152">
        <v>0</v>
      </c>
      <c r="H38" s="152">
        <v>0</v>
      </c>
      <c r="I38" s="144">
        <f t="shared" ref="I38:I47" si="5">ROUND(100*H38/$H$48,0)</f>
        <v>0</v>
      </c>
    </row>
    <row r="39" spans="3:9" ht="15" x14ac:dyDescent="0.25">
      <c r="C39" s="150">
        <v>3</v>
      </c>
      <c r="D39" s="151" t="s">
        <v>47</v>
      </c>
      <c r="E39" s="144">
        <v>0</v>
      </c>
      <c r="F39" s="151" t="s">
        <v>49</v>
      </c>
      <c r="G39" s="152">
        <v>0</v>
      </c>
      <c r="H39" s="152">
        <v>0</v>
      </c>
      <c r="I39" s="144">
        <f t="shared" si="5"/>
        <v>0</v>
      </c>
    </row>
    <row r="40" spans="3:9" ht="15" x14ac:dyDescent="0.25">
      <c r="C40" s="150">
        <v>4</v>
      </c>
      <c r="D40" s="151" t="s">
        <v>48</v>
      </c>
      <c r="E40" s="144">
        <v>0</v>
      </c>
      <c r="F40" s="151" t="s">
        <v>50</v>
      </c>
      <c r="G40" s="152">
        <v>0</v>
      </c>
      <c r="H40" s="152">
        <v>0</v>
      </c>
      <c r="I40" s="144">
        <f t="shared" si="5"/>
        <v>0</v>
      </c>
    </row>
    <row r="41" spans="3:9" ht="15" x14ac:dyDescent="0.25">
      <c r="C41" s="150">
        <v>5</v>
      </c>
      <c r="D41" s="151" t="s">
        <v>22</v>
      </c>
      <c r="E41" s="144">
        <v>426.41</v>
      </c>
      <c r="F41" s="151" t="s">
        <v>50</v>
      </c>
      <c r="G41" s="152">
        <f>E13</f>
        <v>2847</v>
      </c>
      <c r="H41" s="152">
        <f>F13</f>
        <v>962</v>
      </c>
      <c r="I41" s="144">
        <f>ROUND(100*H41/$H$48,0)</f>
        <v>70</v>
      </c>
    </row>
    <row r="42" spans="3:9" ht="15" x14ac:dyDescent="0.25">
      <c r="C42" s="150">
        <v>6</v>
      </c>
      <c r="D42" s="151" t="s">
        <v>51</v>
      </c>
      <c r="E42" s="144">
        <v>0</v>
      </c>
      <c r="F42" s="151" t="s">
        <v>50</v>
      </c>
      <c r="G42" s="152">
        <v>0</v>
      </c>
      <c r="H42" s="152">
        <v>0</v>
      </c>
      <c r="I42" s="144">
        <f t="shared" si="5"/>
        <v>0</v>
      </c>
    </row>
    <row r="43" spans="3:9" ht="15" x14ac:dyDescent="0.25">
      <c r="C43" s="150">
        <v>7</v>
      </c>
      <c r="D43" s="151" t="s">
        <v>52</v>
      </c>
      <c r="E43" s="144">
        <v>0</v>
      </c>
      <c r="F43" s="151" t="s">
        <v>50</v>
      </c>
      <c r="G43" s="152">
        <v>0</v>
      </c>
      <c r="H43" s="152">
        <v>0</v>
      </c>
      <c r="I43" s="144">
        <f t="shared" si="5"/>
        <v>0</v>
      </c>
    </row>
    <row r="44" spans="3:9" ht="15" x14ac:dyDescent="0.25">
      <c r="C44" s="150">
        <v>8</v>
      </c>
      <c r="D44" s="151" t="s">
        <v>53</v>
      </c>
      <c r="E44" s="144">
        <v>9</v>
      </c>
      <c r="F44" s="151" t="s">
        <v>50</v>
      </c>
      <c r="G44" s="152">
        <f>E14-G45</f>
        <v>111.55</v>
      </c>
      <c r="H44" s="152">
        <f>F14*0.9</f>
        <v>28.8</v>
      </c>
      <c r="I44" s="144">
        <f>ROUND(100*H44/$H$48,0)</f>
        <v>2</v>
      </c>
    </row>
    <row r="45" spans="3:9" ht="15" x14ac:dyDescent="0.25">
      <c r="C45" s="150">
        <v>9</v>
      </c>
      <c r="D45" s="151" t="s">
        <v>54</v>
      </c>
      <c r="E45" s="144">
        <v>1</v>
      </c>
      <c r="F45" s="151" t="s">
        <v>50</v>
      </c>
      <c r="G45" s="152">
        <v>12.45</v>
      </c>
      <c r="H45" s="152">
        <f>F14-H44</f>
        <v>3.1999999999999993</v>
      </c>
      <c r="I45" s="144">
        <f t="shared" si="5"/>
        <v>0</v>
      </c>
    </row>
    <row r="46" spans="3:9" ht="15" hidden="1" x14ac:dyDescent="0.25">
      <c r="C46" s="150">
        <v>10</v>
      </c>
      <c r="D46" s="151" t="s">
        <v>55</v>
      </c>
      <c r="E46" s="144">
        <v>0</v>
      </c>
      <c r="F46" s="151" t="s">
        <v>50</v>
      </c>
      <c r="G46" s="153" t="s">
        <v>105</v>
      </c>
      <c r="H46" s="152">
        <v>0</v>
      </c>
      <c r="I46" s="151">
        <f t="shared" si="5"/>
        <v>0</v>
      </c>
    </row>
    <row r="47" spans="3:9" ht="15" hidden="1" x14ac:dyDescent="0.25">
      <c r="C47" s="150">
        <v>10</v>
      </c>
      <c r="D47" s="151" t="s">
        <v>56</v>
      </c>
      <c r="E47" s="144">
        <v>0</v>
      </c>
      <c r="F47" s="151" t="s">
        <v>49</v>
      </c>
      <c r="G47" s="144">
        <f>E47</f>
        <v>0</v>
      </c>
      <c r="H47" s="151">
        <f>INT(G47*0.984)</f>
        <v>0</v>
      </c>
      <c r="I47" s="151">
        <f t="shared" si="5"/>
        <v>0</v>
      </c>
    </row>
    <row r="48" spans="3:9" ht="14.25" x14ac:dyDescent="0.2">
      <c r="C48" s="154" t="s">
        <v>57</v>
      </c>
      <c r="D48" s="155"/>
      <c r="E48" s="155"/>
      <c r="F48" s="156"/>
      <c r="G48" s="147">
        <f>SUM(G37:G47)</f>
        <v>3441</v>
      </c>
      <c r="H48" s="147">
        <f t="shared" ref="H48:I48" si="6">SUM(H37:H47)</f>
        <v>1375</v>
      </c>
      <c r="I48" s="147">
        <f t="shared" si="6"/>
        <v>100</v>
      </c>
    </row>
    <row r="49" spans="3:9" ht="14.25" x14ac:dyDescent="0.2">
      <c r="C49" s="142" t="s">
        <v>94</v>
      </c>
      <c r="D49" s="142"/>
      <c r="E49" s="142"/>
      <c r="F49" s="142"/>
      <c r="G49" s="142"/>
      <c r="H49" s="142"/>
      <c r="I49" s="142"/>
    </row>
    <row r="50" spans="3:9" ht="15" x14ac:dyDescent="0.25">
      <c r="C50" s="150">
        <v>1</v>
      </c>
      <c r="D50" s="151" t="s">
        <v>13</v>
      </c>
      <c r="E50" s="144">
        <f>G50</f>
        <v>724</v>
      </c>
      <c r="F50" s="144" t="s">
        <v>49</v>
      </c>
      <c r="G50" s="144">
        <f>E18+E19</f>
        <v>724</v>
      </c>
      <c r="H50" s="144">
        <f>F18+F19</f>
        <v>587</v>
      </c>
      <c r="I50" s="144">
        <f>ROUND(100*H50/$H$61,0)</f>
        <v>46</v>
      </c>
    </row>
    <row r="51" spans="3:9" ht="18" x14ac:dyDescent="0.25">
      <c r="C51" s="150">
        <v>2</v>
      </c>
      <c r="D51" s="151" t="s">
        <v>17</v>
      </c>
      <c r="E51" s="144">
        <v>0</v>
      </c>
      <c r="F51" s="152" t="s">
        <v>319</v>
      </c>
      <c r="G51" s="144">
        <v>0</v>
      </c>
      <c r="H51" s="144">
        <v>0</v>
      </c>
      <c r="I51" s="144">
        <f t="shared" ref="I51:I60" si="7">ROUND(100*H51/$H$61,0)</f>
        <v>0</v>
      </c>
    </row>
    <row r="52" spans="3:9" ht="15" x14ac:dyDescent="0.25">
      <c r="C52" s="150">
        <v>3</v>
      </c>
      <c r="D52" s="151" t="s">
        <v>47</v>
      </c>
      <c r="E52" s="144">
        <v>0</v>
      </c>
      <c r="F52" s="144" t="s">
        <v>49</v>
      </c>
      <c r="G52" s="144">
        <v>0</v>
      </c>
      <c r="H52" s="144">
        <v>0</v>
      </c>
      <c r="I52" s="144">
        <f t="shared" si="7"/>
        <v>0</v>
      </c>
    </row>
    <row r="53" spans="3:9" ht="15" x14ac:dyDescent="0.25">
      <c r="C53" s="150">
        <v>4</v>
      </c>
      <c r="D53" s="151" t="s">
        <v>48</v>
      </c>
      <c r="E53" s="144">
        <v>0</v>
      </c>
      <c r="F53" s="144" t="s">
        <v>50</v>
      </c>
      <c r="G53" s="144">
        <v>0</v>
      </c>
      <c r="H53" s="144">
        <v>0</v>
      </c>
      <c r="I53" s="144">
        <f t="shared" si="7"/>
        <v>0</v>
      </c>
    </row>
    <row r="54" spans="3:9" ht="15" x14ac:dyDescent="0.25">
      <c r="C54" s="150">
        <v>5</v>
      </c>
      <c r="D54" s="151" t="s">
        <v>22</v>
      </c>
      <c r="E54" s="144">
        <v>295</v>
      </c>
      <c r="F54" s="144" t="s">
        <v>50</v>
      </c>
      <c r="G54" s="144">
        <f>E20</f>
        <v>1967</v>
      </c>
      <c r="H54" s="144">
        <f>F20</f>
        <v>664</v>
      </c>
      <c r="I54" s="144">
        <f>ROUND(100*H54/$H$61,0)</f>
        <v>52</v>
      </c>
    </row>
    <row r="55" spans="3:9" ht="15" x14ac:dyDescent="0.25">
      <c r="C55" s="150">
        <v>6</v>
      </c>
      <c r="D55" s="151" t="s">
        <v>51</v>
      </c>
      <c r="E55" s="144">
        <v>0</v>
      </c>
      <c r="F55" s="144" t="s">
        <v>50</v>
      </c>
      <c r="G55" s="144">
        <v>0</v>
      </c>
      <c r="H55" s="144">
        <v>0</v>
      </c>
      <c r="I55" s="144">
        <f t="shared" si="7"/>
        <v>0</v>
      </c>
    </row>
    <row r="56" spans="3:9" ht="15" x14ac:dyDescent="0.25">
      <c r="C56" s="150">
        <v>7</v>
      </c>
      <c r="D56" s="151" t="s">
        <v>52</v>
      </c>
      <c r="E56" s="144">
        <v>0</v>
      </c>
      <c r="F56" s="144" t="s">
        <v>50</v>
      </c>
      <c r="G56" s="144">
        <v>0</v>
      </c>
      <c r="H56" s="144">
        <v>0</v>
      </c>
      <c r="I56" s="144">
        <f t="shared" si="7"/>
        <v>0</v>
      </c>
    </row>
    <row r="57" spans="3:9" ht="15" x14ac:dyDescent="0.25">
      <c r="C57" s="150">
        <v>8</v>
      </c>
      <c r="D57" s="151" t="s">
        <v>53</v>
      </c>
      <c r="E57" s="144">
        <f>E44</f>
        <v>9</v>
      </c>
      <c r="F57" s="144" t="s">
        <v>50</v>
      </c>
      <c r="G57" s="144">
        <f>G44</f>
        <v>111.55</v>
      </c>
      <c r="H57" s="144">
        <f>H44</f>
        <v>28.8</v>
      </c>
      <c r="I57" s="144">
        <f>ROUND(100*H57/$H$61,0)</f>
        <v>2</v>
      </c>
    </row>
    <row r="58" spans="3:9" ht="15" x14ac:dyDescent="0.25">
      <c r="C58" s="150">
        <v>9</v>
      </c>
      <c r="D58" s="151" t="s">
        <v>54</v>
      </c>
      <c r="E58" s="144">
        <f>E45</f>
        <v>1</v>
      </c>
      <c r="F58" s="144" t="s">
        <v>50</v>
      </c>
      <c r="G58" s="144">
        <f>G45</f>
        <v>12.45</v>
      </c>
      <c r="H58" s="144">
        <f>H45</f>
        <v>3.1999999999999993</v>
      </c>
      <c r="I58" s="144">
        <f t="shared" si="7"/>
        <v>0</v>
      </c>
    </row>
    <row r="59" spans="3:9" ht="15" hidden="1" x14ac:dyDescent="0.25">
      <c r="C59" s="150">
        <v>10</v>
      </c>
      <c r="D59" s="151" t="s">
        <v>55</v>
      </c>
      <c r="E59" s="144">
        <v>0</v>
      </c>
      <c r="F59" s="144" t="s">
        <v>50</v>
      </c>
      <c r="G59" s="145" t="s">
        <v>105</v>
      </c>
      <c r="H59" s="144">
        <f>ROUND(E59/1.56179,2)</f>
        <v>0</v>
      </c>
      <c r="I59" s="144">
        <f t="shared" si="7"/>
        <v>0</v>
      </c>
    </row>
    <row r="60" spans="3:9" ht="15" hidden="1" x14ac:dyDescent="0.25">
      <c r="C60" s="150">
        <v>11</v>
      </c>
      <c r="D60" s="151" t="s">
        <v>56</v>
      </c>
      <c r="E60" s="144">
        <v>0</v>
      </c>
      <c r="F60" s="144" t="s">
        <v>49</v>
      </c>
      <c r="G60" s="144">
        <f>E60</f>
        <v>0</v>
      </c>
      <c r="H60" s="144">
        <f>INT(G60*0.984)</f>
        <v>0</v>
      </c>
      <c r="I60" s="144">
        <f t="shared" si="7"/>
        <v>0</v>
      </c>
    </row>
    <row r="61" spans="3:9" ht="14.25" x14ac:dyDescent="0.2">
      <c r="C61" s="154" t="s">
        <v>57</v>
      </c>
      <c r="D61" s="155"/>
      <c r="E61" s="155"/>
      <c r="F61" s="156"/>
      <c r="G61" s="147">
        <f>SUM(G50:G60)</f>
        <v>2815</v>
      </c>
      <c r="H61" s="147">
        <f t="shared" ref="H61:I61" si="8">SUM(H50:H60)</f>
        <v>1283</v>
      </c>
      <c r="I61" s="147">
        <f t="shared" si="8"/>
        <v>100</v>
      </c>
    </row>
    <row r="62" spans="3:9" ht="15" x14ac:dyDescent="0.25">
      <c r="C62" s="159" t="s">
        <v>65</v>
      </c>
      <c r="D62" s="160"/>
      <c r="E62" s="160"/>
      <c r="F62" s="160"/>
      <c r="G62" s="160"/>
      <c r="H62" s="161"/>
      <c r="I62" s="160"/>
    </row>
    <row r="63" spans="3:9" ht="15" x14ac:dyDescent="0.25">
      <c r="C63" s="159" t="s">
        <v>66</v>
      </c>
      <c r="D63" s="160"/>
      <c r="E63" s="160"/>
      <c r="F63" s="160"/>
      <c r="G63" s="160"/>
      <c r="H63" s="160"/>
      <c r="I63" s="160"/>
    </row>
    <row r="64" spans="3:9" ht="15" x14ac:dyDescent="0.25">
      <c r="C64" s="159" t="s">
        <v>119</v>
      </c>
      <c r="D64" s="160"/>
      <c r="E64" s="160"/>
      <c r="F64" s="160"/>
      <c r="G64" s="160"/>
      <c r="H64" s="160"/>
      <c r="I64" s="160"/>
    </row>
    <row r="65" spans="2:9" ht="15" x14ac:dyDescent="0.25">
      <c r="C65" s="159"/>
      <c r="D65" s="160"/>
      <c r="E65" s="160"/>
      <c r="F65" s="160"/>
      <c r="G65" s="160"/>
      <c r="H65" s="160"/>
      <c r="I65" s="160"/>
    </row>
    <row r="66" spans="2:9" ht="15" x14ac:dyDescent="0.25">
      <c r="C66" s="162" t="s">
        <v>59</v>
      </c>
      <c r="D66" s="160"/>
      <c r="E66" s="160"/>
      <c r="F66" s="160"/>
      <c r="G66" s="160"/>
      <c r="H66" s="160"/>
      <c r="I66" s="160"/>
    </row>
    <row r="67" spans="2:9" ht="15" x14ac:dyDescent="0.25">
      <c r="C67" s="160" t="s">
        <v>107</v>
      </c>
      <c r="D67" s="160"/>
      <c r="E67" s="160"/>
      <c r="F67" s="160"/>
      <c r="G67" s="160"/>
      <c r="H67" s="160"/>
      <c r="I67" s="160"/>
    </row>
    <row r="68" spans="2:9" ht="15" x14ac:dyDescent="0.25">
      <c r="C68" s="160"/>
      <c r="D68" s="160"/>
      <c r="E68" s="160"/>
      <c r="F68" s="160"/>
      <c r="G68" s="160"/>
      <c r="H68" s="160"/>
      <c r="I68" s="160"/>
    </row>
    <row r="69" spans="2:9" ht="15" x14ac:dyDescent="0.25">
      <c r="C69" s="160" t="s">
        <v>61</v>
      </c>
      <c r="D69" s="160"/>
      <c r="E69" s="160"/>
      <c r="F69" s="160"/>
      <c r="G69" s="160"/>
      <c r="H69" s="160"/>
      <c r="I69" s="160"/>
    </row>
    <row r="70" spans="2:9" ht="15" x14ac:dyDescent="0.25">
      <c r="C70" s="160" t="s">
        <v>181</v>
      </c>
      <c r="D70" s="160"/>
      <c r="E70" s="160"/>
      <c r="F70" s="160"/>
      <c r="G70" s="160"/>
      <c r="H70" s="160"/>
      <c r="I70" s="160"/>
    </row>
    <row r="71" spans="2:9" ht="15" x14ac:dyDescent="0.25">
      <c r="C71" s="160" t="s">
        <v>180</v>
      </c>
      <c r="D71" s="160"/>
      <c r="E71" s="160"/>
      <c r="F71" s="160"/>
      <c r="G71" s="160"/>
      <c r="H71" s="160"/>
      <c r="I71" s="160"/>
    </row>
    <row r="72" spans="2:9" ht="15" x14ac:dyDescent="0.25">
      <c r="C72" s="160" t="s">
        <v>179</v>
      </c>
      <c r="D72" s="160"/>
      <c r="E72" s="160"/>
      <c r="F72" s="160"/>
      <c r="G72" s="160"/>
      <c r="H72" s="160"/>
      <c r="I72" s="160"/>
    </row>
    <row r="73" spans="2:9" ht="15" x14ac:dyDescent="0.25">
      <c r="C73" s="160" t="s">
        <v>182</v>
      </c>
      <c r="D73" s="160"/>
      <c r="E73" s="160"/>
      <c r="F73" s="160"/>
      <c r="G73" s="160"/>
      <c r="H73" s="160"/>
      <c r="I73" s="160"/>
    </row>
    <row r="74" spans="2:9" ht="16.5" x14ac:dyDescent="0.3">
      <c r="C74" s="3"/>
    </row>
    <row r="75" spans="2:9" ht="16.5" x14ac:dyDescent="0.3">
      <c r="C75" s="43"/>
    </row>
    <row r="79" spans="2:9" ht="15" x14ac:dyDescent="0.25">
      <c r="B79" s="162" t="s">
        <v>68</v>
      </c>
      <c r="C79" s="160"/>
      <c r="D79" s="163" t="s">
        <v>312</v>
      </c>
    </row>
    <row r="81" spans="2:6" ht="28.5" x14ac:dyDescent="0.2">
      <c r="C81" s="157" t="s">
        <v>31</v>
      </c>
      <c r="D81" s="157" t="s">
        <v>63</v>
      </c>
      <c r="E81" s="158" t="s">
        <v>93</v>
      </c>
      <c r="F81" s="158" t="s">
        <v>94</v>
      </c>
    </row>
    <row r="82" spans="2:6" ht="15" x14ac:dyDescent="0.25">
      <c r="C82" s="141">
        <v>1</v>
      </c>
      <c r="D82" s="141">
        <v>2</v>
      </c>
      <c r="E82" s="141">
        <v>3</v>
      </c>
      <c r="F82" s="150">
        <v>4</v>
      </c>
    </row>
    <row r="83" spans="2:6" ht="15" x14ac:dyDescent="0.25">
      <c r="C83" s="150">
        <v>1</v>
      </c>
      <c r="D83" s="151" t="s">
        <v>313</v>
      </c>
      <c r="E83" s="144">
        <f>E84+E85</f>
        <v>1301</v>
      </c>
      <c r="F83" s="144">
        <f>F84+F85</f>
        <v>1018</v>
      </c>
    </row>
    <row r="84" spans="2:6" ht="15" x14ac:dyDescent="0.25">
      <c r="C84" s="150"/>
      <c r="D84" s="140" t="s">
        <v>37</v>
      </c>
      <c r="E84" s="145">
        <f>F11</f>
        <v>339</v>
      </c>
      <c r="F84" s="145">
        <f>F18</f>
        <v>354</v>
      </c>
    </row>
    <row r="85" spans="2:6" ht="15" x14ac:dyDescent="0.25">
      <c r="C85" s="150"/>
      <c r="D85" s="140" t="s">
        <v>64</v>
      </c>
      <c r="E85" s="145">
        <f>F13</f>
        <v>962</v>
      </c>
      <c r="F85" s="145">
        <f>F20</f>
        <v>664</v>
      </c>
    </row>
    <row r="86" spans="2:6" x14ac:dyDescent="0.2">
      <c r="C86" s="134" t="s">
        <v>65</v>
      </c>
    </row>
    <row r="87" spans="2:6" x14ac:dyDescent="0.2">
      <c r="C87" s="134" t="s">
        <v>66</v>
      </c>
    </row>
    <row r="90" spans="2:6" x14ac:dyDescent="0.2">
      <c r="C90" s="42" t="s">
        <v>67</v>
      </c>
    </row>
    <row r="92" spans="2:6" ht="15" x14ac:dyDescent="0.25">
      <c r="B92" s="162" t="s">
        <v>69</v>
      </c>
      <c r="C92" s="160"/>
      <c r="D92" s="165" t="s">
        <v>314</v>
      </c>
      <c r="E92" s="160"/>
    </row>
    <row r="94" spans="2:6" ht="28.5" x14ac:dyDescent="0.2">
      <c r="C94" s="157" t="s">
        <v>31</v>
      </c>
      <c r="D94" s="157" t="s">
        <v>63</v>
      </c>
      <c r="E94" s="158" t="s">
        <v>93</v>
      </c>
      <c r="F94" s="158" t="s">
        <v>94</v>
      </c>
    </row>
    <row r="95" spans="2:6" ht="15" x14ac:dyDescent="0.25">
      <c r="C95" s="141">
        <v>1</v>
      </c>
      <c r="D95" s="141">
        <v>2</v>
      </c>
      <c r="E95" s="141">
        <v>3</v>
      </c>
      <c r="F95" s="150">
        <v>4</v>
      </c>
    </row>
    <row r="96" spans="2:6" ht="15" x14ac:dyDescent="0.25">
      <c r="C96" s="150">
        <v>1</v>
      </c>
      <c r="D96" s="151" t="s">
        <v>315</v>
      </c>
      <c r="E96" s="144">
        <f>F14</f>
        <v>32</v>
      </c>
      <c r="F96" s="144">
        <f>F21</f>
        <v>32</v>
      </c>
    </row>
    <row r="97" spans="2:6" x14ac:dyDescent="0.2">
      <c r="C97" s="134" t="s">
        <v>65</v>
      </c>
    </row>
    <row r="98" spans="2:6" x14ac:dyDescent="0.2">
      <c r="C98" s="134" t="s">
        <v>66</v>
      </c>
    </row>
    <row r="100" spans="2:6" ht="14.45" customHeight="1" x14ac:dyDescent="0.2">
      <c r="C100" s="136" t="s">
        <v>108</v>
      </c>
      <c r="D100" s="136"/>
      <c r="E100" s="136"/>
      <c r="F100" s="136"/>
    </row>
    <row r="101" spans="2:6" ht="13.9" customHeight="1" x14ac:dyDescent="0.2">
      <c r="C101" s="136"/>
      <c r="D101" s="136"/>
      <c r="E101" s="136"/>
      <c r="F101" s="136"/>
    </row>
    <row r="105" spans="2:6" ht="15" x14ac:dyDescent="0.25">
      <c r="B105" s="162" t="s">
        <v>70</v>
      </c>
      <c r="C105" s="160"/>
      <c r="D105" s="163" t="s">
        <v>320</v>
      </c>
      <c r="E105" s="160"/>
    </row>
    <row r="106" spans="2:6" x14ac:dyDescent="0.2">
      <c r="E106" s="38"/>
      <c r="F106" s="38"/>
    </row>
    <row r="107" spans="2:6" ht="28.5" x14ac:dyDescent="0.2">
      <c r="C107" s="157" t="s">
        <v>31</v>
      </c>
      <c r="D107" s="157" t="s">
        <v>63</v>
      </c>
      <c r="E107" s="158" t="s">
        <v>93</v>
      </c>
      <c r="F107" s="158" t="s">
        <v>94</v>
      </c>
    </row>
    <row r="108" spans="2:6" ht="15" x14ac:dyDescent="0.25">
      <c r="C108" s="141">
        <v>1</v>
      </c>
      <c r="D108" s="141">
        <v>2</v>
      </c>
      <c r="E108" s="141">
        <v>3</v>
      </c>
      <c r="F108" s="150">
        <v>4</v>
      </c>
    </row>
    <row r="109" spans="2:6" ht="15" x14ac:dyDescent="0.25">
      <c r="C109" s="150">
        <v>1</v>
      </c>
      <c r="D109" s="151" t="s">
        <v>316</v>
      </c>
      <c r="E109" s="144">
        <f>E110+E111</f>
        <v>0</v>
      </c>
      <c r="F109" s="144">
        <f>F19</f>
        <v>233</v>
      </c>
    </row>
    <row r="110" spans="2:6" x14ac:dyDescent="0.2">
      <c r="C110" s="134" t="s">
        <v>65</v>
      </c>
    </row>
    <row r="111" spans="2:6" x14ac:dyDescent="0.2">
      <c r="C111" s="134" t="s">
        <v>66</v>
      </c>
    </row>
  </sheetData>
  <mergeCells count="16">
    <mergeCell ref="B2:G2"/>
    <mergeCell ref="C100:F101"/>
    <mergeCell ref="C61:F61"/>
    <mergeCell ref="C36:I36"/>
    <mergeCell ref="C49:I49"/>
    <mergeCell ref="C10:G10"/>
    <mergeCell ref="C17:G17"/>
    <mergeCell ref="C16:D16"/>
    <mergeCell ref="C23:D23"/>
    <mergeCell ref="C48:F48"/>
    <mergeCell ref="D7:D8"/>
    <mergeCell ref="C7:C8"/>
    <mergeCell ref="C33:C34"/>
    <mergeCell ref="D33:D34"/>
    <mergeCell ref="F33:F34"/>
    <mergeCell ref="E33:E34"/>
  </mergeCells>
  <pageMargins left="0.51181102362204722" right="0.31496062992125984" top="0.35433070866141736" bottom="0.35433070866141736" header="0.31496062992125984" footer="0.31496062992125984"/>
  <pageSetup paperSize="8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1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15" sqref="I115"/>
    </sheetView>
  </sheetViews>
  <sheetFormatPr defaultColWidth="8.85546875" defaultRowHeight="12.75" x14ac:dyDescent="0.2"/>
  <cols>
    <col min="1" max="2" width="8.85546875" style="34"/>
    <col min="3" max="3" width="4.28515625" style="41" customWidth="1"/>
    <col min="4" max="4" width="38.42578125" style="34" bestFit="1" customWidth="1"/>
    <col min="5" max="5" width="15.42578125" style="34" bestFit="1" customWidth="1"/>
    <col min="6" max="6" width="14.42578125" style="34" bestFit="1" customWidth="1"/>
    <col min="7" max="7" width="12.42578125" style="34" customWidth="1"/>
    <col min="8" max="8" width="16.140625" style="34" customWidth="1"/>
    <col min="9" max="9" width="10.28515625" style="34" customWidth="1"/>
    <col min="10" max="10" width="8.85546875" style="34"/>
    <col min="11" max="11" width="8.85546875" style="83"/>
    <col min="12" max="12" width="9.140625" style="34" bestFit="1" customWidth="1"/>
    <col min="13" max="16384" width="8.85546875" style="34"/>
  </cols>
  <sheetData>
    <row r="2" spans="2:11" ht="15.75" x14ac:dyDescent="0.25">
      <c r="B2" s="116" t="s">
        <v>73</v>
      </c>
      <c r="C2" s="116"/>
      <c r="D2" s="116"/>
      <c r="E2" s="116"/>
      <c r="F2" s="116"/>
      <c r="G2" s="116"/>
    </row>
    <row r="3" spans="2:11" ht="15.75" x14ac:dyDescent="0.25">
      <c r="B3" s="166"/>
      <c r="C3" s="167"/>
      <c r="D3" s="166"/>
      <c r="E3" s="166"/>
      <c r="F3" s="166"/>
      <c r="G3" s="166"/>
      <c r="H3" s="166"/>
      <c r="I3" s="166"/>
    </row>
    <row r="4" spans="2:11" ht="15.75" x14ac:dyDescent="0.25">
      <c r="B4" s="168" t="s">
        <v>71</v>
      </c>
      <c r="C4" s="167"/>
      <c r="D4" s="168" t="s">
        <v>321</v>
      </c>
      <c r="E4" s="166"/>
      <c r="F4" s="166"/>
      <c r="G4" s="166"/>
      <c r="H4" s="166"/>
      <c r="I4" s="166"/>
    </row>
    <row r="5" spans="2:11" ht="15.75" x14ac:dyDescent="0.25">
      <c r="B5" s="166"/>
      <c r="C5" s="167"/>
      <c r="D5" s="166"/>
      <c r="E5" s="166"/>
      <c r="F5" s="166"/>
      <c r="G5" s="166"/>
      <c r="H5" s="166"/>
      <c r="I5" s="166"/>
    </row>
    <row r="6" spans="2:11" ht="15.75" x14ac:dyDescent="0.25">
      <c r="B6" s="166"/>
      <c r="C6" s="167"/>
      <c r="D6" s="166"/>
      <c r="E6" s="166"/>
      <c r="F6" s="166"/>
      <c r="G6" s="166"/>
      <c r="H6" s="166"/>
      <c r="I6" s="166"/>
    </row>
    <row r="7" spans="2:11" s="48" customFormat="1" ht="78.75" x14ac:dyDescent="0.2">
      <c r="B7" s="169"/>
      <c r="C7" s="170" t="s">
        <v>31</v>
      </c>
      <c r="D7" s="170" t="s">
        <v>32</v>
      </c>
      <c r="E7" s="171" t="s">
        <v>33</v>
      </c>
      <c r="F7" s="171" t="s">
        <v>30</v>
      </c>
      <c r="G7" s="171" t="s">
        <v>121</v>
      </c>
      <c r="H7" s="169"/>
      <c r="I7" s="169"/>
      <c r="K7" s="84"/>
    </row>
    <row r="8" spans="2:11" ht="15.75" x14ac:dyDescent="0.25">
      <c r="B8" s="166"/>
      <c r="C8" s="170"/>
      <c r="D8" s="170"/>
      <c r="E8" s="172" t="s">
        <v>29</v>
      </c>
      <c r="F8" s="172" t="s">
        <v>34</v>
      </c>
      <c r="G8" s="172" t="s">
        <v>35</v>
      </c>
      <c r="H8" s="166"/>
      <c r="I8" s="166"/>
    </row>
    <row r="9" spans="2:11" s="37" customFormat="1" ht="15.75" x14ac:dyDescent="0.2">
      <c r="B9" s="173"/>
      <c r="C9" s="174">
        <v>1</v>
      </c>
      <c r="D9" s="174">
        <v>2</v>
      </c>
      <c r="E9" s="174">
        <v>3</v>
      </c>
      <c r="F9" s="174">
        <v>4</v>
      </c>
      <c r="G9" s="174">
        <v>5</v>
      </c>
      <c r="H9" s="173"/>
      <c r="I9" s="173"/>
      <c r="K9" s="85"/>
    </row>
    <row r="10" spans="2:11" s="37" customFormat="1" ht="15.75" x14ac:dyDescent="0.2">
      <c r="B10" s="173"/>
      <c r="C10" s="175" t="s">
        <v>93</v>
      </c>
      <c r="D10" s="175"/>
      <c r="E10" s="175"/>
      <c r="F10" s="175"/>
      <c r="G10" s="175"/>
      <c r="H10" s="173"/>
      <c r="I10" s="173"/>
      <c r="K10" s="85"/>
    </row>
    <row r="11" spans="2:11" ht="15.75" x14ac:dyDescent="0.25">
      <c r="B11" s="166"/>
      <c r="C11" s="176">
        <v>1</v>
      </c>
      <c r="D11" s="177" t="s">
        <v>74</v>
      </c>
      <c r="E11" s="178">
        <v>1868</v>
      </c>
      <c r="F11" s="178">
        <f>ROUND(E11*'Wskaźniki emisji'!G20,2)</f>
        <v>1516.82</v>
      </c>
      <c r="G11" s="179">
        <f>INT(100*F11/$F$16)</f>
        <v>7</v>
      </c>
      <c r="H11" s="166"/>
      <c r="I11" s="166"/>
    </row>
    <row r="12" spans="2:11" ht="15.75" x14ac:dyDescent="0.25">
      <c r="B12" s="166"/>
      <c r="C12" s="176">
        <v>2</v>
      </c>
      <c r="D12" s="177" t="s">
        <v>75</v>
      </c>
      <c r="E12" s="178">
        <v>50686</v>
      </c>
      <c r="F12" s="178">
        <f>H42+H43</f>
        <v>17013.57</v>
      </c>
      <c r="G12" s="179">
        <f>INT(100*F12/$F$16)</f>
        <v>86</v>
      </c>
      <c r="H12" s="180"/>
      <c r="I12" s="166"/>
    </row>
    <row r="13" spans="2:11" ht="15.75" x14ac:dyDescent="0.25">
      <c r="B13" s="166"/>
      <c r="C13" s="176">
        <v>3</v>
      </c>
      <c r="D13" s="177" t="s">
        <v>76</v>
      </c>
      <c r="E13" s="178">
        <f>INT(G45+G46)</f>
        <v>3273</v>
      </c>
      <c r="F13" s="178">
        <f>H45+H46</f>
        <v>843.45</v>
      </c>
      <c r="G13" s="179">
        <f>INT(100*F13/$F$16+1)</f>
        <v>5</v>
      </c>
      <c r="H13" s="166"/>
      <c r="I13" s="166"/>
    </row>
    <row r="14" spans="2:11" ht="15.75" hidden="1" x14ac:dyDescent="0.25">
      <c r="B14" s="166"/>
      <c r="C14" s="176">
        <v>4</v>
      </c>
      <c r="D14" s="177" t="s">
        <v>41</v>
      </c>
      <c r="E14" s="181" t="s">
        <v>105</v>
      </c>
      <c r="F14" s="178">
        <f>H47</f>
        <v>0</v>
      </c>
      <c r="G14" s="179">
        <f t="shared" ref="G14" si="0">INT(100*F14/$F$16)</f>
        <v>0</v>
      </c>
      <c r="H14" s="166"/>
      <c r="I14" s="166"/>
    </row>
    <row r="15" spans="2:11" ht="15.75" x14ac:dyDescent="0.25">
      <c r="B15" s="166"/>
      <c r="C15" s="176">
        <v>4</v>
      </c>
      <c r="D15" s="177" t="s">
        <v>77</v>
      </c>
      <c r="E15" s="178">
        <f>INT(E22/2.487)</f>
        <v>299</v>
      </c>
      <c r="F15" s="178">
        <f>ROUND(E15*'Wskaźniki emisji'!G20,2)-0.02</f>
        <v>242.76999999999998</v>
      </c>
      <c r="G15" s="179">
        <f>INT(100*F15/$F$16+1)</f>
        <v>2</v>
      </c>
      <c r="H15" s="166"/>
      <c r="I15" s="166"/>
    </row>
    <row r="16" spans="2:11" ht="13.15" customHeight="1" x14ac:dyDescent="0.25">
      <c r="B16" s="166"/>
      <c r="C16" s="182" t="s">
        <v>42</v>
      </c>
      <c r="D16" s="182"/>
      <c r="E16" s="183">
        <f>SUM(E11:E15)</f>
        <v>56126</v>
      </c>
      <c r="F16" s="183">
        <f t="shared" ref="F16:G16" si="1">SUM(F11:F15)</f>
        <v>19616.61</v>
      </c>
      <c r="G16" s="184">
        <f t="shared" si="1"/>
        <v>100</v>
      </c>
      <c r="H16" s="166"/>
      <c r="I16" s="180"/>
    </row>
    <row r="17" spans="2:9" ht="15.75" x14ac:dyDescent="0.25">
      <c r="B17" s="166"/>
      <c r="C17" s="185" t="s">
        <v>94</v>
      </c>
      <c r="D17" s="185"/>
      <c r="E17" s="185"/>
      <c r="F17" s="185"/>
      <c r="G17" s="185"/>
      <c r="H17" s="166"/>
      <c r="I17" s="166"/>
    </row>
    <row r="18" spans="2:9" ht="15.75" x14ac:dyDescent="0.25">
      <c r="B18" s="166"/>
      <c r="C18" s="186">
        <v>1</v>
      </c>
      <c r="D18" s="187" t="s">
        <v>74</v>
      </c>
      <c r="E18" s="188">
        <v>4670</v>
      </c>
      <c r="F18" s="188">
        <f>ROUND(E18*'Wskaźniki emisji'!G20,2)</f>
        <v>3792.04</v>
      </c>
      <c r="G18" s="189">
        <f>INT(100*F18/$F$23)</f>
        <v>21</v>
      </c>
      <c r="H18" s="166"/>
      <c r="I18" s="166"/>
    </row>
    <row r="19" spans="2:9" ht="15.75" x14ac:dyDescent="0.25">
      <c r="B19" s="166"/>
      <c r="C19" s="186">
        <v>2</v>
      </c>
      <c r="D19" s="187" t="s">
        <v>75</v>
      </c>
      <c r="E19" s="188">
        <v>38110.199999999997</v>
      </c>
      <c r="F19" s="188">
        <f>H52+H55+H56+H57</f>
        <v>11859.35</v>
      </c>
      <c r="G19" s="189">
        <f>INT(100*F19/$F$23)</f>
        <v>66</v>
      </c>
      <c r="H19" s="180"/>
      <c r="I19" s="166"/>
    </row>
    <row r="20" spans="2:9" ht="15.75" x14ac:dyDescent="0.25">
      <c r="B20" s="166"/>
      <c r="C20" s="186">
        <v>3</v>
      </c>
      <c r="D20" s="187" t="s">
        <v>76</v>
      </c>
      <c r="E20" s="188">
        <f>G58+G59</f>
        <v>6313.6900000000005</v>
      </c>
      <c r="F20" s="188">
        <f>H58+H59</f>
        <v>1622.95</v>
      </c>
      <c r="G20" s="189">
        <f>INT(100*F20/$F$23+1)</f>
        <v>10</v>
      </c>
      <c r="H20" s="166"/>
      <c r="I20" s="166"/>
    </row>
    <row r="21" spans="2:9" ht="15.75" hidden="1" x14ac:dyDescent="0.25">
      <c r="B21" s="166"/>
      <c r="C21" s="186">
        <v>4</v>
      </c>
      <c r="D21" s="187" t="s">
        <v>41</v>
      </c>
      <c r="E21" s="190" t="s">
        <v>105</v>
      </c>
      <c r="F21" s="188">
        <f>H60</f>
        <v>0</v>
      </c>
      <c r="G21" s="189">
        <f t="shared" ref="G21:G22" si="2">INT(100*F21/$F$23)</f>
        <v>0</v>
      </c>
      <c r="H21" s="166"/>
      <c r="I21" s="166"/>
    </row>
    <row r="22" spans="2:9" ht="15.75" x14ac:dyDescent="0.25">
      <c r="B22" s="166"/>
      <c r="C22" s="186">
        <v>4</v>
      </c>
      <c r="D22" s="187" t="s">
        <v>77</v>
      </c>
      <c r="E22" s="188">
        <v>746</v>
      </c>
      <c r="F22" s="188">
        <f>ROUND(E22*'Wskaźniki emisji'!G20,2)</f>
        <v>605.75</v>
      </c>
      <c r="G22" s="189">
        <f t="shared" si="2"/>
        <v>3</v>
      </c>
      <c r="H22" s="166"/>
      <c r="I22" s="166"/>
    </row>
    <row r="23" spans="2:9" ht="13.15" customHeight="1" x14ac:dyDescent="0.25">
      <c r="B23" s="166"/>
      <c r="C23" s="182" t="s">
        <v>42</v>
      </c>
      <c r="D23" s="182"/>
      <c r="E23" s="183">
        <f>SUM(E18:E22)</f>
        <v>49839.89</v>
      </c>
      <c r="F23" s="183">
        <f t="shared" ref="F23:G23" si="3">SUM(F18:F22)</f>
        <v>17880.09</v>
      </c>
      <c r="G23" s="184">
        <f t="shared" si="3"/>
        <v>100</v>
      </c>
      <c r="H23" s="166"/>
      <c r="I23" s="166"/>
    </row>
    <row r="24" spans="2:9" ht="15.75" x14ac:dyDescent="0.25">
      <c r="B24" s="166"/>
      <c r="C24" s="191" t="s">
        <v>65</v>
      </c>
      <c r="D24" s="192"/>
      <c r="E24" s="192"/>
      <c r="F24" s="192"/>
      <c r="G24" s="192"/>
      <c r="H24" s="166"/>
      <c r="I24" s="166"/>
    </row>
    <row r="25" spans="2:9" ht="15.75" x14ac:dyDescent="0.25">
      <c r="B25" s="166"/>
      <c r="C25" s="193" t="s">
        <v>66</v>
      </c>
      <c r="D25" s="166"/>
      <c r="E25" s="166"/>
      <c r="F25" s="166"/>
      <c r="G25" s="166"/>
      <c r="H25" s="166"/>
      <c r="I25" s="166"/>
    </row>
    <row r="26" spans="2:9" ht="15.75" x14ac:dyDescent="0.25">
      <c r="B26" s="166"/>
      <c r="C26" s="193" t="s">
        <v>119</v>
      </c>
      <c r="D26" s="166"/>
      <c r="E26" s="166"/>
      <c r="F26" s="166"/>
      <c r="G26" s="166"/>
      <c r="H26" s="180"/>
      <c r="I26" s="166"/>
    </row>
    <row r="27" spans="2:9" ht="15.75" x14ac:dyDescent="0.25">
      <c r="B27" s="166"/>
      <c r="C27" s="167"/>
      <c r="D27" s="166"/>
      <c r="E27" s="166"/>
      <c r="F27" s="166"/>
      <c r="G27" s="166"/>
      <c r="H27" s="166"/>
      <c r="I27" s="166"/>
    </row>
    <row r="28" spans="2:9" ht="15.75" x14ac:dyDescent="0.25">
      <c r="B28" s="166"/>
      <c r="C28" s="167"/>
      <c r="D28" s="166"/>
      <c r="E28" s="166"/>
      <c r="F28" s="166"/>
      <c r="G28" s="166"/>
      <c r="H28" s="166"/>
      <c r="I28" s="166"/>
    </row>
    <row r="29" spans="2:9" ht="15.75" x14ac:dyDescent="0.25">
      <c r="B29" s="166"/>
      <c r="C29" s="167"/>
      <c r="D29" s="166"/>
      <c r="E29" s="166"/>
      <c r="F29" s="166"/>
      <c r="G29" s="166"/>
      <c r="H29" s="166"/>
      <c r="I29" s="166"/>
    </row>
    <row r="30" spans="2:9" ht="15.75" x14ac:dyDescent="0.25">
      <c r="B30" s="166"/>
      <c r="C30" s="167"/>
      <c r="D30" s="166"/>
      <c r="E30" s="166"/>
      <c r="F30" s="166"/>
      <c r="G30" s="166"/>
      <c r="H30" s="166"/>
      <c r="I30" s="166"/>
    </row>
    <row r="31" spans="2:9" ht="15.75" x14ac:dyDescent="0.25">
      <c r="B31" s="166"/>
      <c r="C31" s="167"/>
      <c r="D31" s="166"/>
      <c r="E31" s="166"/>
      <c r="F31" s="166"/>
      <c r="G31" s="166"/>
      <c r="H31" s="166"/>
      <c r="I31" s="166"/>
    </row>
    <row r="32" spans="2:9" ht="15.75" x14ac:dyDescent="0.25">
      <c r="B32" s="194" t="s">
        <v>156</v>
      </c>
      <c r="C32" s="166"/>
      <c r="D32" s="168" t="s">
        <v>110</v>
      </c>
      <c r="E32" s="166"/>
      <c r="F32" s="166"/>
      <c r="G32" s="166"/>
      <c r="H32" s="166"/>
      <c r="I32" s="166"/>
    </row>
    <row r="33" spans="2:11" ht="15.75" x14ac:dyDescent="0.25">
      <c r="B33" s="166"/>
      <c r="C33" s="167"/>
      <c r="D33" s="195"/>
      <c r="E33" s="166"/>
      <c r="F33" s="166"/>
      <c r="G33" s="166"/>
      <c r="H33" s="166"/>
      <c r="I33" s="166"/>
    </row>
    <row r="34" spans="2:11" s="39" customFormat="1" ht="47.25" x14ac:dyDescent="0.2">
      <c r="B34" s="196"/>
      <c r="C34" s="197" t="s">
        <v>31</v>
      </c>
      <c r="D34" s="197" t="s">
        <v>45</v>
      </c>
      <c r="E34" s="197" t="s">
        <v>58</v>
      </c>
      <c r="F34" s="197" t="s">
        <v>46</v>
      </c>
      <c r="G34" s="171" t="s">
        <v>117</v>
      </c>
      <c r="H34" s="171" t="s">
        <v>118</v>
      </c>
      <c r="I34" s="171" t="s">
        <v>120</v>
      </c>
      <c r="K34" s="86" t="s">
        <v>189</v>
      </c>
    </row>
    <row r="35" spans="2:11" s="39" customFormat="1" ht="18.75" x14ac:dyDescent="0.2">
      <c r="B35" s="196"/>
      <c r="C35" s="198"/>
      <c r="D35" s="198"/>
      <c r="E35" s="198"/>
      <c r="F35" s="198"/>
      <c r="G35" s="199" t="s">
        <v>29</v>
      </c>
      <c r="H35" s="200" t="s">
        <v>322</v>
      </c>
      <c r="I35" s="199" t="s">
        <v>35</v>
      </c>
      <c r="K35" s="86"/>
    </row>
    <row r="36" spans="2:11" ht="15.75" x14ac:dyDescent="0.25">
      <c r="B36" s="166"/>
      <c r="C36" s="174">
        <v>1</v>
      </c>
      <c r="D36" s="174">
        <v>2</v>
      </c>
      <c r="E36" s="174">
        <v>3</v>
      </c>
      <c r="F36" s="174">
        <v>4</v>
      </c>
      <c r="G36" s="174">
        <v>5</v>
      </c>
      <c r="H36" s="174">
        <v>6</v>
      </c>
      <c r="I36" s="174">
        <v>7</v>
      </c>
    </row>
    <row r="37" spans="2:11" ht="15.75" x14ac:dyDescent="0.25">
      <c r="B37" s="166"/>
      <c r="C37" s="175" t="s">
        <v>93</v>
      </c>
      <c r="D37" s="175"/>
      <c r="E37" s="175"/>
      <c r="F37" s="175"/>
      <c r="G37" s="175"/>
      <c r="H37" s="175"/>
      <c r="I37" s="175"/>
    </row>
    <row r="38" spans="2:11" ht="15.75" x14ac:dyDescent="0.25">
      <c r="B38" s="166"/>
      <c r="C38" s="176">
        <v>1</v>
      </c>
      <c r="D38" s="177" t="s">
        <v>13</v>
      </c>
      <c r="E38" s="178">
        <f>G38</f>
        <v>1868</v>
      </c>
      <c r="F38" s="178" t="s">
        <v>49</v>
      </c>
      <c r="G38" s="178">
        <f>E11</f>
        <v>1868</v>
      </c>
      <c r="H38" s="178">
        <f>F11</f>
        <v>1516.82</v>
      </c>
      <c r="I38" s="179">
        <f>ROUND(100*H38/$H$49,0)</f>
        <v>8</v>
      </c>
      <c r="K38" s="87">
        <f>H38/G38</f>
        <v>0.81200214132762305</v>
      </c>
    </row>
    <row r="39" spans="2:11" ht="18.75" x14ac:dyDescent="0.25">
      <c r="B39" s="166"/>
      <c r="C39" s="176">
        <v>2</v>
      </c>
      <c r="D39" s="177" t="s">
        <v>17</v>
      </c>
      <c r="E39" s="178">
        <v>0</v>
      </c>
      <c r="F39" s="178" t="s">
        <v>323</v>
      </c>
      <c r="G39" s="178">
        <v>0</v>
      </c>
      <c r="H39" s="178">
        <v>0</v>
      </c>
      <c r="I39" s="179">
        <f t="shared" ref="I39:I48" si="4">ROUND(100*H39/$H$49,0)</f>
        <v>0</v>
      </c>
      <c r="K39" s="87"/>
    </row>
    <row r="40" spans="2:11" ht="15.75" x14ac:dyDescent="0.25">
      <c r="B40" s="166"/>
      <c r="C40" s="176">
        <v>3</v>
      </c>
      <c r="D40" s="177" t="s">
        <v>47</v>
      </c>
      <c r="E40" s="178">
        <v>0</v>
      </c>
      <c r="F40" s="178" t="s">
        <v>49</v>
      </c>
      <c r="G40" s="178">
        <v>0</v>
      </c>
      <c r="H40" s="178">
        <v>0</v>
      </c>
      <c r="I40" s="179">
        <f t="shared" si="4"/>
        <v>0</v>
      </c>
      <c r="K40" s="87"/>
    </row>
    <row r="41" spans="2:11" ht="15.75" x14ac:dyDescent="0.25">
      <c r="B41" s="166"/>
      <c r="C41" s="176">
        <v>4</v>
      </c>
      <c r="D41" s="177" t="s">
        <v>48</v>
      </c>
      <c r="E41" s="178">
        <v>0</v>
      </c>
      <c r="F41" s="178" t="s">
        <v>50</v>
      </c>
      <c r="G41" s="178">
        <v>0</v>
      </c>
      <c r="H41" s="178">
        <v>0</v>
      </c>
      <c r="I41" s="179">
        <f t="shared" si="4"/>
        <v>0</v>
      </c>
      <c r="K41" s="87"/>
    </row>
    <row r="42" spans="2:11" ht="15.75" x14ac:dyDescent="0.25">
      <c r="B42" s="166"/>
      <c r="C42" s="176">
        <v>5</v>
      </c>
      <c r="D42" s="177" t="s">
        <v>22</v>
      </c>
      <c r="E42" s="178">
        <v>7546.63</v>
      </c>
      <c r="F42" s="178" t="s">
        <v>50</v>
      </c>
      <c r="G42" s="178">
        <f>E12-G43</f>
        <v>50336</v>
      </c>
      <c r="H42" s="178">
        <f>ROUND(G42*'Wskaźniki emisji'!G21,2)</f>
        <v>17013.57</v>
      </c>
      <c r="I42" s="179">
        <f>ROUND(100*H42/$H$49-1,0)</f>
        <v>86</v>
      </c>
      <c r="K42" s="87">
        <f t="shared" ref="K42:K48" si="5">H42/G42</f>
        <v>0.33800003973299425</v>
      </c>
    </row>
    <row r="43" spans="2:11" ht="15.75" x14ac:dyDescent="0.25">
      <c r="B43" s="166"/>
      <c r="C43" s="176">
        <v>6</v>
      </c>
      <c r="D43" s="177" t="s">
        <v>51</v>
      </c>
      <c r="E43" s="178">
        <v>90.21</v>
      </c>
      <c r="F43" s="178" t="s">
        <v>50</v>
      </c>
      <c r="G43" s="178">
        <v>350</v>
      </c>
      <c r="H43" s="178">
        <f>ROUND(G43*'Wskaźniki emisji'!G19,2)</f>
        <v>0</v>
      </c>
      <c r="I43" s="179">
        <f t="shared" si="4"/>
        <v>0</v>
      </c>
      <c r="K43" s="87">
        <f t="shared" si="5"/>
        <v>0</v>
      </c>
    </row>
    <row r="44" spans="2:11" ht="15.75" x14ac:dyDescent="0.25">
      <c r="B44" s="166"/>
      <c r="C44" s="176">
        <v>7</v>
      </c>
      <c r="D44" s="177" t="s">
        <v>52</v>
      </c>
      <c r="E44" s="178">
        <v>0</v>
      </c>
      <c r="F44" s="178" t="s">
        <v>50</v>
      </c>
      <c r="G44" s="178">
        <v>0</v>
      </c>
      <c r="H44" s="178">
        <v>0</v>
      </c>
      <c r="I44" s="179">
        <f t="shared" si="4"/>
        <v>0</v>
      </c>
      <c r="K44" s="87"/>
    </row>
    <row r="45" spans="2:11" ht="15.75" x14ac:dyDescent="0.25">
      <c r="B45" s="166"/>
      <c r="C45" s="186">
        <v>8</v>
      </c>
      <c r="D45" s="187" t="s">
        <v>53</v>
      </c>
      <c r="E45" s="188">
        <v>157.22</v>
      </c>
      <c r="F45" s="188" t="s">
        <v>50</v>
      </c>
      <c r="G45" s="188">
        <v>1867.44</v>
      </c>
      <c r="H45" s="188">
        <f>ROUND(G45*'Wskaźniki emisji'!G15,2)</f>
        <v>494.87</v>
      </c>
      <c r="I45" s="189">
        <f t="shared" si="4"/>
        <v>3</v>
      </c>
      <c r="K45" s="87">
        <f t="shared" si="5"/>
        <v>0.26499914321209783</v>
      </c>
    </row>
    <row r="46" spans="2:11" ht="15.75" x14ac:dyDescent="0.25">
      <c r="B46" s="166"/>
      <c r="C46" s="186">
        <v>9</v>
      </c>
      <c r="D46" s="187" t="s">
        <v>54</v>
      </c>
      <c r="E46" s="188">
        <v>117.62</v>
      </c>
      <c r="F46" s="188" t="s">
        <v>50</v>
      </c>
      <c r="G46" s="188">
        <v>1405.56</v>
      </c>
      <c r="H46" s="188">
        <f>ROUND(G46*'Wskaźniki emisji'!G13,2)</f>
        <v>348.58</v>
      </c>
      <c r="I46" s="189">
        <f t="shared" si="4"/>
        <v>2</v>
      </c>
      <c r="K46" s="87">
        <f t="shared" si="5"/>
        <v>0.24800079683542503</v>
      </c>
    </row>
    <row r="47" spans="2:11" ht="15.75" hidden="1" x14ac:dyDescent="0.25">
      <c r="B47" s="166"/>
      <c r="C47" s="186">
        <v>10</v>
      </c>
      <c r="D47" s="187" t="s">
        <v>55</v>
      </c>
      <c r="E47" s="188">
        <v>0</v>
      </c>
      <c r="F47" s="188" t="s">
        <v>50</v>
      </c>
      <c r="G47" s="190" t="s">
        <v>105</v>
      </c>
      <c r="H47" s="188">
        <f>ROUND(E47*0.646,2)</f>
        <v>0</v>
      </c>
      <c r="I47" s="189">
        <f t="shared" si="4"/>
        <v>0</v>
      </c>
      <c r="K47" s="87" t="e">
        <f t="shared" si="5"/>
        <v>#VALUE!</v>
      </c>
    </row>
    <row r="48" spans="2:11" ht="15.75" x14ac:dyDescent="0.25">
      <c r="B48" s="166"/>
      <c r="C48" s="186">
        <v>10</v>
      </c>
      <c r="D48" s="187" t="s">
        <v>77</v>
      </c>
      <c r="E48" s="188">
        <v>299</v>
      </c>
      <c r="F48" s="188" t="s">
        <v>49</v>
      </c>
      <c r="G48" s="188">
        <f>E15</f>
        <v>299</v>
      </c>
      <c r="H48" s="188">
        <f>F15</f>
        <v>242.76999999999998</v>
      </c>
      <c r="I48" s="189">
        <f t="shared" si="4"/>
        <v>1</v>
      </c>
      <c r="K48" s="87">
        <f t="shared" si="5"/>
        <v>0.81193979933110361</v>
      </c>
    </row>
    <row r="49" spans="2:12" ht="15.75" x14ac:dyDescent="0.25">
      <c r="B49" s="166"/>
      <c r="C49" s="182" t="s">
        <v>57</v>
      </c>
      <c r="D49" s="182"/>
      <c r="E49" s="182"/>
      <c r="F49" s="182"/>
      <c r="G49" s="183">
        <f>SUM(G38:G48)</f>
        <v>56126</v>
      </c>
      <c r="H49" s="183">
        <f t="shared" ref="H49:I49" si="6">SUM(H38:H48)</f>
        <v>19616.61</v>
      </c>
      <c r="I49" s="184">
        <f t="shared" si="6"/>
        <v>100</v>
      </c>
    </row>
    <row r="50" spans="2:12" ht="15.75" x14ac:dyDescent="0.25">
      <c r="B50" s="166"/>
      <c r="C50" s="185" t="s">
        <v>94</v>
      </c>
      <c r="D50" s="185"/>
      <c r="E50" s="185"/>
      <c r="F50" s="185"/>
      <c r="G50" s="185"/>
      <c r="H50" s="185"/>
      <c r="I50" s="185"/>
    </row>
    <row r="51" spans="2:12" ht="15.75" x14ac:dyDescent="0.25">
      <c r="B51" s="166"/>
      <c r="C51" s="186">
        <v>1</v>
      </c>
      <c r="D51" s="187" t="s">
        <v>13</v>
      </c>
      <c r="E51" s="188">
        <f>E18</f>
        <v>4670</v>
      </c>
      <c r="F51" s="187" t="s">
        <v>49</v>
      </c>
      <c r="G51" s="188">
        <f>ROUND(E18,2)</f>
        <v>4670</v>
      </c>
      <c r="H51" s="188">
        <f>F18</f>
        <v>3792.04</v>
      </c>
      <c r="I51" s="189">
        <f>INT(100*H51/$H$62)</f>
        <v>21</v>
      </c>
    </row>
    <row r="52" spans="2:12" ht="18.75" x14ac:dyDescent="0.25">
      <c r="B52" s="166"/>
      <c r="C52" s="186">
        <v>2</v>
      </c>
      <c r="D52" s="187" t="s">
        <v>17</v>
      </c>
      <c r="E52" s="188">
        <v>0</v>
      </c>
      <c r="F52" s="188" t="s">
        <v>323</v>
      </c>
      <c r="G52" s="188">
        <v>0</v>
      </c>
      <c r="H52" s="188">
        <f>ROUND(G52*0.202,2)</f>
        <v>0</v>
      </c>
      <c r="I52" s="189">
        <f t="shared" ref="I52:I60" si="7">INT(100*H52/$H$62)</f>
        <v>0</v>
      </c>
    </row>
    <row r="53" spans="2:12" ht="15.75" x14ac:dyDescent="0.25">
      <c r="B53" s="166"/>
      <c r="C53" s="186">
        <v>3</v>
      </c>
      <c r="D53" s="187" t="s">
        <v>47</v>
      </c>
      <c r="E53" s="188">
        <v>0</v>
      </c>
      <c r="F53" s="187" t="s">
        <v>49</v>
      </c>
      <c r="G53" s="188">
        <v>0</v>
      </c>
      <c r="H53" s="188">
        <v>0</v>
      </c>
      <c r="I53" s="189">
        <f t="shared" si="7"/>
        <v>0</v>
      </c>
    </row>
    <row r="54" spans="2:12" ht="15.75" x14ac:dyDescent="0.25">
      <c r="B54" s="166"/>
      <c r="C54" s="186">
        <v>4</v>
      </c>
      <c r="D54" s="187" t="s">
        <v>48</v>
      </c>
      <c r="E54" s="188">
        <v>0</v>
      </c>
      <c r="F54" s="187" t="s">
        <v>50</v>
      </c>
      <c r="G54" s="188">
        <v>0</v>
      </c>
      <c r="H54" s="188">
        <v>0</v>
      </c>
      <c r="I54" s="189">
        <f t="shared" si="7"/>
        <v>0</v>
      </c>
    </row>
    <row r="55" spans="2:12" ht="15.75" x14ac:dyDescent="0.25">
      <c r="B55" s="166"/>
      <c r="C55" s="186">
        <v>5</v>
      </c>
      <c r="D55" s="187" t="s">
        <v>22</v>
      </c>
      <c r="E55" s="188">
        <v>5052.5</v>
      </c>
      <c r="F55" s="187" t="s">
        <v>50</v>
      </c>
      <c r="G55" s="188">
        <v>35086.840000000004</v>
      </c>
      <c r="H55" s="188">
        <f>ROUND(G55*'Wskaźniki emisji'!G21,2)</f>
        <v>11859.35</v>
      </c>
      <c r="I55" s="189">
        <f>INT(100*H55/$H$62)</f>
        <v>66</v>
      </c>
      <c r="L55" s="40"/>
    </row>
    <row r="56" spans="2:12" ht="15.75" x14ac:dyDescent="0.25">
      <c r="B56" s="166"/>
      <c r="C56" s="186">
        <v>6</v>
      </c>
      <c r="D56" s="187" t="s">
        <v>51</v>
      </c>
      <c r="E56" s="188">
        <v>697.7</v>
      </c>
      <c r="F56" s="187" t="s">
        <v>50</v>
      </c>
      <c r="G56" s="188">
        <v>3023.36</v>
      </c>
      <c r="H56" s="188">
        <f>ROUND(G56*'Wskaźniki emisji'!G19,2)</f>
        <v>0</v>
      </c>
      <c r="I56" s="189">
        <f>INT(100*H56/$H$62)</f>
        <v>0</v>
      </c>
      <c r="K56" s="88"/>
    </row>
    <row r="57" spans="2:12" ht="15.75" x14ac:dyDescent="0.25">
      <c r="B57" s="166"/>
      <c r="C57" s="186">
        <v>7</v>
      </c>
      <c r="D57" s="187" t="s">
        <v>52</v>
      </c>
      <c r="E57" s="188">
        <f>G57*3.6/'Wskaźniki emisji'!E10</f>
        <v>0</v>
      </c>
      <c r="F57" s="187" t="s">
        <v>50</v>
      </c>
      <c r="G57" s="188">
        <f>ROUND(E19*Struktura!C41/100,2)</f>
        <v>0</v>
      </c>
      <c r="H57" s="188">
        <f>ROUND(G57*'Wskaźniki emisji'!G11,2)</f>
        <v>0</v>
      </c>
      <c r="I57" s="189">
        <f>INT(100*H57/$H$62)</f>
        <v>0</v>
      </c>
    </row>
    <row r="58" spans="2:12" ht="15.75" x14ac:dyDescent="0.25">
      <c r="B58" s="166"/>
      <c r="C58" s="186">
        <v>8</v>
      </c>
      <c r="D58" s="187" t="s">
        <v>53</v>
      </c>
      <c r="E58" s="188">
        <v>283</v>
      </c>
      <c r="F58" s="187" t="s">
        <v>50</v>
      </c>
      <c r="G58" s="188">
        <f>ROUND(E58*11.88,2)</f>
        <v>3362.04</v>
      </c>
      <c r="H58" s="188">
        <f>ROUND(G58*'Wskaźniki emisji'!G15,2)</f>
        <v>890.94</v>
      </c>
      <c r="I58" s="189">
        <f t="shared" si="7"/>
        <v>4</v>
      </c>
    </row>
    <row r="59" spans="2:12" ht="15.75" x14ac:dyDescent="0.25">
      <c r="B59" s="166"/>
      <c r="C59" s="186">
        <v>9</v>
      </c>
      <c r="D59" s="187" t="s">
        <v>54</v>
      </c>
      <c r="E59" s="188">
        <v>247</v>
      </c>
      <c r="F59" s="187" t="s">
        <v>50</v>
      </c>
      <c r="G59" s="188">
        <f>ROUND(E59*11.95,2)</f>
        <v>2951.65</v>
      </c>
      <c r="H59" s="188">
        <f>ROUND(G59*'Wskaźniki emisji'!G13,2)</f>
        <v>732.01</v>
      </c>
      <c r="I59" s="189">
        <f>INT(100*H59/$H$62)+1</f>
        <v>5</v>
      </c>
    </row>
    <row r="60" spans="2:12" ht="15.75" hidden="1" x14ac:dyDescent="0.25">
      <c r="B60" s="166"/>
      <c r="C60" s="186">
        <v>10</v>
      </c>
      <c r="D60" s="187" t="s">
        <v>55</v>
      </c>
      <c r="E60" s="188">
        <v>0</v>
      </c>
      <c r="F60" s="187" t="s">
        <v>50</v>
      </c>
      <c r="G60" s="190" t="s">
        <v>105</v>
      </c>
      <c r="H60" s="188">
        <v>0</v>
      </c>
      <c r="I60" s="189">
        <f t="shared" si="7"/>
        <v>0</v>
      </c>
    </row>
    <row r="61" spans="2:12" ht="15.75" x14ac:dyDescent="0.25">
      <c r="B61" s="166"/>
      <c r="C61" s="186">
        <v>10</v>
      </c>
      <c r="D61" s="187" t="s">
        <v>77</v>
      </c>
      <c r="E61" s="188">
        <f>G61</f>
        <v>746</v>
      </c>
      <c r="F61" s="187" t="s">
        <v>49</v>
      </c>
      <c r="G61" s="188">
        <f>E22</f>
        <v>746</v>
      </c>
      <c r="H61" s="188">
        <f>F22</f>
        <v>605.75</v>
      </c>
      <c r="I61" s="189">
        <f>INT(100*H61/$H$62)+1</f>
        <v>4</v>
      </c>
    </row>
    <row r="62" spans="2:12" ht="15.75" x14ac:dyDescent="0.25">
      <c r="B62" s="166"/>
      <c r="C62" s="182" t="s">
        <v>57</v>
      </c>
      <c r="D62" s="182"/>
      <c r="E62" s="182"/>
      <c r="F62" s="182"/>
      <c r="G62" s="183">
        <f>SUM(G51:G61)</f>
        <v>49839.890000000007</v>
      </c>
      <c r="H62" s="183">
        <f t="shared" ref="H62:I62" si="8">SUM(H51:H61)</f>
        <v>17880.089999999997</v>
      </c>
      <c r="I62" s="184">
        <f t="shared" si="8"/>
        <v>100</v>
      </c>
    </row>
    <row r="63" spans="2:12" ht="15.75" x14ac:dyDescent="0.25">
      <c r="B63" s="166"/>
      <c r="C63" s="193" t="s">
        <v>65</v>
      </c>
      <c r="D63" s="166"/>
      <c r="E63" s="166"/>
      <c r="F63" s="166"/>
      <c r="G63" s="166"/>
      <c r="H63" s="166"/>
      <c r="I63" s="166"/>
    </row>
    <row r="64" spans="2:12" ht="15.75" x14ac:dyDescent="0.25">
      <c r="B64" s="166"/>
      <c r="C64" s="193" t="s">
        <v>66</v>
      </c>
      <c r="D64" s="166"/>
      <c r="E64" s="166"/>
      <c r="F64" s="166"/>
      <c r="G64" s="166"/>
      <c r="H64" s="166"/>
      <c r="I64" s="166"/>
    </row>
    <row r="65" spans="2:9" ht="15.75" x14ac:dyDescent="0.25">
      <c r="B65" s="166"/>
      <c r="C65" s="193" t="s">
        <v>119</v>
      </c>
      <c r="D65" s="166"/>
      <c r="E65" s="166"/>
      <c r="F65" s="166"/>
      <c r="G65" s="166"/>
      <c r="H65" s="166"/>
      <c r="I65" s="166"/>
    </row>
    <row r="66" spans="2:9" ht="15.75" x14ac:dyDescent="0.25">
      <c r="B66" s="166"/>
      <c r="C66" s="193"/>
      <c r="D66" s="166"/>
      <c r="E66" s="166"/>
      <c r="F66" s="166"/>
      <c r="G66" s="166"/>
      <c r="H66" s="166"/>
      <c r="I66" s="166"/>
    </row>
    <row r="67" spans="2:9" ht="15.75" x14ac:dyDescent="0.25">
      <c r="B67" s="166"/>
      <c r="C67" s="193"/>
      <c r="D67" s="166"/>
      <c r="E67" s="166"/>
      <c r="F67" s="166"/>
      <c r="G67" s="166"/>
      <c r="H67" s="166"/>
      <c r="I67" s="166"/>
    </row>
    <row r="68" spans="2:9" ht="15.75" x14ac:dyDescent="0.25">
      <c r="B68" s="166"/>
      <c r="C68" s="193"/>
      <c r="D68" s="166"/>
      <c r="E68" s="166"/>
      <c r="F68" s="166"/>
      <c r="G68" s="166"/>
      <c r="H68" s="166"/>
      <c r="I68" s="166"/>
    </row>
    <row r="69" spans="2:9" ht="15.75" x14ac:dyDescent="0.25">
      <c r="B69" s="166"/>
      <c r="C69" s="201" t="s">
        <v>78</v>
      </c>
      <c r="D69" s="166"/>
      <c r="E69" s="166"/>
      <c r="F69" s="166"/>
      <c r="G69" s="166"/>
      <c r="H69" s="166"/>
      <c r="I69" s="166"/>
    </row>
    <row r="70" spans="2:9" ht="15.75" x14ac:dyDescent="0.25">
      <c r="B70" s="166"/>
      <c r="C70" s="202" t="s">
        <v>284</v>
      </c>
      <c r="D70" s="166"/>
      <c r="E70" s="166"/>
      <c r="F70" s="166"/>
      <c r="G70" s="166"/>
      <c r="H70" s="166"/>
      <c r="I70" s="166"/>
    </row>
    <row r="71" spans="2:9" ht="15.75" x14ac:dyDescent="0.25">
      <c r="B71" s="166"/>
      <c r="C71" s="202" t="s">
        <v>60</v>
      </c>
      <c r="D71" s="166"/>
      <c r="E71" s="166"/>
      <c r="F71" s="166"/>
      <c r="G71" s="166"/>
      <c r="H71" s="166"/>
      <c r="I71" s="166"/>
    </row>
    <row r="72" spans="2:9" ht="15.75" x14ac:dyDescent="0.25">
      <c r="B72" s="166"/>
      <c r="C72" s="202"/>
      <c r="D72" s="166"/>
      <c r="E72" s="166"/>
      <c r="F72" s="166"/>
      <c r="G72" s="166"/>
      <c r="H72" s="166"/>
      <c r="I72" s="166"/>
    </row>
    <row r="73" spans="2:9" ht="15.75" x14ac:dyDescent="0.25">
      <c r="B73" s="166"/>
      <c r="C73" s="167"/>
      <c r="D73" s="166"/>
      <c r="E73" s="166"/>
      <c r="F73" s="166"/>
      <c r="G73" s="166"/>
      <c r="H73" s="166"/>
      <c r="I73" s="166"/>
    </row>
    <row r="74" spans="2:9" ht="15.75" x14ac:dyDescent="0.25">
      <c r="B74" s="166"/>
      <c r="C74" s="167"/>
      <c r="D74" s="166"/>
      <c r="E74" s="166"/>
      <c r="F74" s="166"/>
      <c r="G74" s="166"/>
      <c r="H74" s="166"/>
      <c r="I74" s="166"/>
    </row>
    <row r="75" spans="2:9" ht="15.75" x14ac:dyDescent="0.25">
      <c r="B75" s="194" t="s">
        <v>157</v>
      </c>
      <c r="C75" s="166"/>
      <c r="D75" s="168" t="s">
        <v>324</v>
      </c>
      <c r="E75" s="166"/>
      <c r="F75" s="166"/>
      <c r="G75" s="166"/>
      <c r="H75" s="166"/>
      <c r="I75" s="166"/>
    </row>
    <row r="76" spans="2:9" ht="15.75" x14ac:dyDescent="0.25">
      <c r="B76" s="166"/>
      <c r="C76" s="167"/>
      <c r="D76" s="166"/>
      <c r="E76" s="166"/>
      <c r="F76" s="166"/>
      <c r="G76" s="166"/>
      <c r="H76" s="166"/>
      <c r="I76" s="166"/>
    </row>
    <row r="77" spans="2:9" ht="15.75" x14ac:dyDescent="0.25">
      <c r="B77" s="166"/>
      <c r="C77" s="203" t="s">
        <v>31</v>
      </c>
      <c r="D77" s="203" t="s">
        <v>63</v>
      </c>
      <c r="E77" s="204" t="s">
        <v>93</v>
      </c>
      <c r="F77" s="204" t="s">
        <v>94</v>
      </c>
      <c r="G77" s="166"/>
      <c r="H77" s="166"/>
      <c r="I77" s="166"/>
    </row>
    <row r="78" spans="2:9" ht="15.75" x14ac:dyDescent="0.25">
      <c r="B78" s="166"/>
      <c r="C78" s="174">
        <v>1</v>
      </c>
      <c r="D78" s="174">
        <v>2</v>
      </c>
      <c r="E78" s="174">
        <v>3</v>
      </c>
      <c r="F78" s="174">
        <v>4</v>
      </c>
      <c r="G78" s="166"/>
      <c r="H78" s="166"/>
      <c r="I78" s="166"/>
    </row>
    <row r="79" spans="2:9" ht="15.75" x14ac:dyDescent="0.25">
      <c r="B79" s="166"/>
      <c r="C79" s="176">
        <v>1</v>
      </c>
      <c r="D79" s="177" t="s">
        <v>325</v>
      </c>
      <c r="E79" s="178">
        <f>E80+E81</f>
        <v>18530.39</v>
      </c>
      <c r="F79" s="178">
        <f>F80+F81</f>
        <v>15651.39</v>
      </c>
      <c r="G79" s="166"/>
      <c r="H79" s="166"/>
      <c r="I79" s="166"/>
    </row>
    <row r="80" spans="2:9" ht="15.75" x14ac:dyDescent="0.25">
      <c r="B80" s="166"/>
      <c r="C80" s="176"/>
      <c r="D80" s="172" t="s">
        <v>37</v>
      </c>
      <c r="E80" s="178">
        <f>F11</f>
        <v>1516.82</v>
      </c>
      <c r="F80" s="178">
        <f>F18</f>
        <v>3792.04</v>
      </c>
      <c r="G80" s="166"/>
      <c r="H80" s="166"/>
      <c r="I80" s="166"/>
    </row>
    <row r="81" spans="2:9" ht="15.75" x14ac:dyDescent="0.25">
      <c r="B81" s="166"/>
      <c r="C81" s="176"/>
      <c r="D81" s="172" t="s">
        <v>64</v>
      </c>
      <c r="E81" s="178">
        <f>F12</f>
        <v>17013.57</v>
      </c>
      <c r="F81" s="178">
        <f>F19</f>
        <v>11859.35</v>
      </c>
      <c r="G81" s="166"/>
      <c r="H81" s="166"/>
      <c r="I81" s="166"/>
    </row>
    <row r="82" spans="2:9" ht="15.75" x14ac:dyDescent="0.25">
      <c r="B82" s="166"/>
      <c r="C82" s="202" t="s">
        <v>65</v>
      </c>
      <c r="D82" s="166"/>
      <c r="E82" s="166"/>
      <c r="F82" s="166"/>
      <c r="G82" s="166"/>
      <c r="H82" s="166"/>
      <c r="I82" s="166"/>
    </row>
    <row r="83" spans="2:9" ht="15.75" x14ac:dyDescent="0.25">
      <c r="B83" s="166"/>
      <c r="C83" s="202" t="s">
        <v>66</v>
      </c>
      <c r="D83" s="166"/>
      <c r="E83" s="166"/>
      <c r="F83" s="166"/>
      <c r="G83" s="166"/>
      <c r="H83" s="166"/>
      <c r="I83" s="166"/>
    </row>
    <row r="84" spans="2:9" ht="15.75" x14ac:dyDescent="0.25">
      <c r="B84" s="166"/>
      <c r="C84" s="167"/>
      <c r="D84" s="166"/>
      <c r="E84" s="166"/>
      <c r="F84" s="166"/>
      <c r="G84" s="166"/>
      <c r="H84" s="166"/>
      <c r="I84" s="166"/>
    </row>
    <row r="85" spans="2:9" ht="15.75" x14ac:dyDescent="0.25">
      <c r="B85" s="166"/>
      <c r="C85" s="168" t="s">
        <v>79</v>
      </c>
      <c r="D85" s="166"/>
      <c r="E85" s="166"/>
      <c r="F85" s="166"/>
      <c r="G85" s="166"/>
      <c r="H85" s="166"/>
      <c r="I85" s="166"/>
    </row>
    <row r="86" spans="2:9" ht="15.75" x14ac:dyDescent="0.25">
      <c r="B86" s="166"/>
      <c r="C86" s="167"/>
      <c r="D86" s="166"/>
      <c r="E86" s="166"/>
      <c r="F86" s="166"/>
      <c r="G86" s="166"/>
      <c r="H86" s="166"/>
      <c r="I86" s="166"/>
    </row>
    <row r="87" spans="2:9" ht="15.75" x14ac:dyDescent="0.25">
      <c r="B87" s="194" t="s">
        <v>158</v>
      </c>
      <c r="C87" s="166"/>
      <c r="D87" s="205" t="s">
        <v>326</v>
      </c>
      <c r="E87" s="166"/>
      <c r="F87" s="166"/>
      <c r="G87" s="166"/>
      <c r="H87" s="166"/>
      <c r="I87" s="166"/>
    </row>
    <row r="88" spans="2:9" ht="15.75" x14ac:dyDescent="0.25">
      <c r="B88" s="166"/>
      <c r="C88" s="167"/>
      <c r="D88" s="166"/>
      <c r="E88" s="166"/>
      <c r="F88" s="166"/>
      <c r="G88" s="166"/>
      <c r="H88" s="166"/>
      <c r="I88" s="166"/>
    </row>
    <row r="89" spans="2:9" ht="15.75" x14ac:dyDescent="0.25">
      <c r="B89" s="166"/>
      <c r="C89" s="203" t="s">
        <v>31</v>
      </c>
      <c r="D89" s="203" t="s">
        <v>63</v>
      </c>
      <c r="E89" s="204" t="s">
        <v>93</v>
      </c>
      <c r="F89" s="204" t="s">
        <v>94</v>
      </c>
      <c r="G89" s="166"/>
      <c r="H89" s="166"/>
      <c r="I89" s="166"/>
    </row>
    <row r="90" spans="2:9" ht="15.75" x14ac:dyDescent="0.25">
      <c r="B90" s="166"/>
      <c r="C90" s="174">
        <v>1</v>
      </c>
      <c r="D90" s="174">
        <v>2</v>
      </c>
      <c r="E90" s="174">
        <v>3</v>
      </c>
      <c r="F90" s="174">
        <v>4</v>
      </c>
      <c r="G90" s="166"/>
      <c r="H90" s="166"/>
      <c r="I90" s="166"/>
    </row>
    <row r="91" spans="2:9" ht="15.75" x14ac:dyDescent="0.25">
      <c r="B91" s="166"/>
      <c r="C91" s="176">
        <v>1</v>
      </c>
      <c r="D91" s="177" t="s">
        <v>327</v>
      </c>
      <c r="E91" s="178">
        <f>F15</f>
        <v>242.76999999999998</v>
      </c>
      <c r="F91" s="178">
        <f>F22</f>
        <v>605.75</v>
      </c>
      <c r="G91" s="166"/>
      <c r="H91" s="166"/>
      <c r="I91" s="166"/>
    </row>
    <row r="92" spans="2:9" ht="15.75" x14ac:dyDescent="0.25">
      <c r="B92" s="166"/>
      <c r="C92" s="202" t="s">
        <v>65</v>
      </c>
      <c r="D92" s="166"/>
      <c r="E92" s="166"/>
      <c r="F92" s="166"/>
      <c r="G92" s="166"/>
      <c r="H92" s="166"/>
      <c r="I92" s="166"/>
    </row>
    <row r="93" spans="2:9" ht="15.75" x14ac:dyDescent="0.25">
      <c r="B93" s="166"/>
      <c r="C93" s="202" t="s">
        <v>66</v>
      </c>
      <c r="D93" s="166"/>
      <c r="E93" s="166"/>
      <c r="F93" s="166"/>
      <c r="G93" s="166"/>
      <c r="H93" s="166"/>
      <c r="I93" s="166"/>
    </row>
    <row r="94" spans="2:9" ht="15.75" x14ac:dyDescent="0.25">
      <c r="B94" s="166"/>
      <c r="C94" s="167"/>
      <c r="D94" s="166"/>
      <c r="E94" s="166"/>
      <c r="F94" s="166"/>
      <c r="G94" s="166"/>
      <c r="H94" s="166"/>
      <c r="I94" s="166"/>
    </row>
    <row r="95" spans="2:9" ht="15.75" x14ac:dyDescent="0.25">
      <c r="B95" s="166"/>
      <c r="C95" s="167"/>
      <c r="D95" s="166"/>
      <c r="E95" s="166"/>
      <c r="F95" s="166"/>
      <c r="G95" s="166"/>
      <c r="H95" s="166"/>
      <c r="I95" s="166"/>
    </row>
    <row r="96" spans="2:9" ht="15.75" x14ac:dyDescent="0.25">
      <c r="B96" s="166"/>
      <c r="C96" s="167"/>
      <c r="D96" s="166"/>
      <c r="E96" s="166"/>
      <c r="F96" s="166"/>
      <c r="G96" s="166"/>
      <c r="H96" s="166"/>
      <c r="I96" s="166"/>
    </row>
    <row r="97" spans="2:9" ht="15.75" x14ac:dyDescent="0.25">
      <c r="B97" s="166"/>
      <c r="C97" s="167"/>
      <c r="D97" s="166"/>
      <c r="E97" s="166"/>
      <c r="F97" s="166"/>
      <c r="G97" s="166"/>
      <c r="H97" s="166"/>
      <c r="I97" s="166"/>
    </row>
    <row r="98" spans="2:9" ht="15.75" x14ac:dyDescent="0.25">
      <c r="B98" s="166"/>
      <c r="C98" s="201" t="s">
        <v>80</v>
      </c>
      <c r="D98" s="166"/>
      <c r="E98" s="166"/>
      <c r="F98" s="166"/>
      <c r="G98" s="166"/>
      <c r="H98" s="166"/>
      <c r="I98" s="166"/>
    </row>
    <row r="99" spans="2:9" ht="15.75" x14ac:dyDescent="0.25">
      <c r="B99" s="166"/>
      <c r="C99" s="167"/>
      <c r="D99" s="166"/>
      <c r="E99" s="166"/>
      <c r="F99" s="166"/>
      <c r="G99" s="166"/>
      <c r="H99" s="166"/>
      <c r="I99" s="166"/>
    </row>
    <row r="100" spans="2:9" ht="15.75" x14ac:dyDescent="0.25">
      <c r="B100" s="194" t="s">
        <v>159</v>
      </c>
      <c r="C100" s="166"/>
      <c r="D100" s="168" t="s">
        <v>328</v>
      </c>
      <c r="E100" s="166"/>
      <c r="F100" s="166"/>
      <c r="G100" s="166"/>
      <c r="H100" s="166"/>
      <c r="I100" s="166"/>
    </row>
    <row r="101" spans="2:9" ht="15.75" x14ac:dyDescent="0.25">
      <c r="B101" s="166"/>
      <c r="C101" s="167"/>
      <c r="D101" s="166"/>
      <c r="E101" s="166"/>
      <c r="F101" s="166"/>
      <c r="G101" s="166"/>
      <c r="H101" s="166"/>
      <c r="I101" s="166"/>
    </row>
    <row r="102" spans="2:9" ht="15.75" x14ac:dyDescent="0.25">
      <c r="B102" s="166"/>
      <c r="C102" s="203" t="s">
        <v>31</v>
      </c>
      <c r="D102" s="203" t="s">
        <v>63</v>
      </c>
      <c r="E102" s="204" t="s">
        <v>93</v>
      </c>
      <c r="F102" s="204" t="s">
        <v>94</v>
      </c>
      <c r="G102" s="166"/>
      <c r="H102" s="166"/>
      <c r="I102" s="166"/>
    </row>
    <row r="103" spans="2:9" ht="15.75" x14ac:dyDescent="0.25">
      <c r="B103" s="166"/>
      <c r="C103" s="174">
        <v>1</v>
      </c>
      <c r="D103" s="174">
        <v>2</v>
      </c>
      <c r="E103" s="174">
        <v>3</v>
      </c>
      <c r="F103" s="174">
        <v>4</v>
      </c>
      <c r="G103" s="166"/>
      <c r="H103" s="166"/>
      <c r="I103" s="166"/>
    </row>
    <row r="104" spans="2:9" ht="15.75" x14ac:dyDescent="0.25">
      <c r="B104" s="166"/>
      <c r="C104" s="176">
        <v>1</v>
      </c>
      <c r="D104" s="177" t="s">
        <v>329</v>
      </c>
      <c r="E104" s="178">
        <f>F13</f>
        <v>843.45</v>
      </c>
      <c r="F104" s="178">
        <f>F20</f>
        <v>1622.95</v>
      </c>
      <c r="G104" s="166"/>
      <c r="H104" s="166"/>
      <c r="I104" s="166"/>
    </row>
    <row r="105" spans="2:9" ht="15.75" x14ac:dyDescent="0.25">
      <c r="B105" s="166"/>
      <c r="C105" s="202" t="s">
        <v>65</v>
      </c>
      <c r="D105" s="206"/>
      <c r="E105" s="207"/>
      <c r="F105" s="207"/>
      <c r="G105" s="166"/>
      <c r="H105" s="166"/>
      <c r="I105" s="166"/>
    </row>
    <row r="106" spans="2:9" ht="15.75" x14ac:dyDescent="0.25">
      <c r="B106" s="166"/>
      <c r="C106" s="202" t="s">
        <v>66</v>
      </c>
      <c r="D106" s="206"/>
      <c r="E106" s="207"/>
      <c r="F106" s="207"/>
      <c r="G106" s="166"/>
      <c r="H106" s="166"/>
      <c r="I106" s="166"/>
    </row>
    <row r="107" spans="2:9" ht="15.75" x14ac:dyDescent="0.25">
      <c r="B107" s="166"/>
      <c r="C107" s="167"/>
      <c r="D107" s="166"/>
      <c r="E107" s="166"/>
      <c r="F107" s="166"/>
      <c r="G107" s="166"/>
      <c r="H107" s="166"/>
      <c r="I107" s="166"/>
    </row>
    <row r="108" spans="2:9" ht="15.75" x14ac:dyDescent="0.25">
      <c r="B108" s="166"/>
      <c r="C108" s="167"/>
      <c r="D108" s="166"/>
      <c r="E108" s="166"/>
      <c r="F108" s="166"/>
      <c r="G108" s="166"/>
      <c r="H108" s="166"/>
      <c r="I108" s="166"/>
    </row>
    <row r="109" spans="2:9" ht="15.75" x14ac:dyDescent="0.25">
      <c r="B109" s="166"/>
      <c r="C109" s="202" t="s">
        <v>81</v>
      </c>
      <c r="D109" s="166"/>
      <c r="E109" s="166"/>
      <c r="F109" s="166"/>
      <c r="G109" s="166"/>
      <c r="H109" s="166"/>
      <c r="I109" s="166"/>
    </row>
    <row r="110" spans="2:9" ht="16.5" x14ac:dyDescent="0.3">
      <c r="C110" s="43"/>
      <c r="D110" s="4"/>
    </row>
    <row r="111" spans="2:9" ht="16.5" x14ac:dyDescent="0.3">
      <c r="C111" s="43"/>
    </row>
    <row r="112" spans="2:9" ht="16.5" x14ac:dyDescent="0.3">
      <c r="C112" s="43"/>
    </row>
  </sheetData>
  <mergeCells count="15">
    <mergeCell ref="C50:I50"/>
    <mergeCell ref="C62:F62"/>
    <mergeCell ref="C10:G10"/>
    <mergeCell ref="C16:D16"/>
    <mergeCell ref="C17:G17"/>
    <mergeCell ref="C23:D23"/>
    <mergeCell ref="C37:I37"/>
    <mergeCell ref="C49:F49"/>
    <mergeCell ref="B2:G2"/>
    <mergeCell ref="D7:D8"/>
    <mergeCell ref="C7:C8"/>
    <mergeCell ref="D34:D35"/>
    <mergeCell ref="C34:C35"/>
    <mergeCell ref="F34:F35"/>
    <mergeCell ref="E34:E35"/>
  </mergeCells>
  <pageMargins left="0.70866141732283472" right="0.70866141732283472" top="0.94488188976377963" bottom="0.74803149606299213" header="0.31496062992125984" footer="0.31496062992125984"/>
  <pageSetup paperSize="8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9"/>
  <sheetViews>
    <sheetView showGridLines="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G24" sqref="G24"/>
    </sheetView>
  </sheetViews>
  <sheetFormatPr defaultRowHeight="12.75" x14ac:dyDescent="0.2"/>
  <cols>
    <col min="3" max="3" width="8" customWidth="1"/>
    <col min="4" max="4" width="46.5703125" bestFit="1" customWidth="1"/>
    <col min="5" max="5" width="13.42578125" bestFit="1" customWidth="1"/>
    <col min="6" max="7" width="9.140625" bestFit="1" customWidth="1"/>
  </cols>
  <sheetData>
    <row r="2" spans="2:10" ht="13.15" customHeight="1" x14ac:dyDescent="0.25">
      <c r="B2" s="117" t="s">
        <v>176</v>
      </c>
      <c r="C2" s="117"/>
      <c r="D2" s="117"/>
      <c r="E2" s="117"/>
      <c r="F2" s="117"/>
    </row>
    <row r="5" spans="2:10" ht="14.25" x14ac:dyDescent="0.3">
      <c r="B5" s="1" t="s">
        <v>160</v>
      </c>
      <c r="D5" s="44" t="s">
        <v>122</v>
      </c>
    </row>
    <row r="7" spans="2:10" ht="19.149999999999999" customHeight="1" x14ac:dyDescent="0.2">
      <c r="C7" s="33" t="s">
        <v>31</v>
      </c>
      <c r="D7" s="33" t="s">
        <v>63</v>
      </c>
      <c r="E7" s="54" t="s">
        <v>93</v>
      </c>
      <c r="F7" s="54" t="s">
        <v>94</v>
      </c>
    </row>
    <row r="8" spans="2:10" x14ac:dyDescent="0.2">
      <c r="C8" s="49">
        <v>1</v>
      </c>
      <c r="D8" s="49">
        <v>2</v>
      </c>
      <c r="E8" s="49">
        <v>3</v>
      </c>
      <c r="F8" s="49">
        <v>4</v>
      </c>
    </row>
    <row r="9" spans="2:10" ht="13.5" x14ac:dyDescent="0.25">
      <c r="C9" s="120">
        <v>1</v>
      </c>
      <c r="D9" s="45" t="s">
        <v>82</v>
      </c>
      <c r="E9" s="50">
        <f>E10+E11</f>
        <v>20991.61</v>
      </c>
      <c r="F9" s="50">
        <f>F10+F11</f>
        <v>19163.09</v>
      </c>
      <c r="G9" s="29"/>
      <c r="J9" s="29"/>
    </row>
    <row r="10" spans="2:10" ht="13.5" x14ac:dyDescent="0.25">
      <c r="C10" s="121"/>
      <c r="D10" s="46" t="s">
        <v>83</v>
      </c>
      <c r="E10" s="51">
        <f>'Samorząd emisja'!F16</f>
        <v>1375</v>
      </c>
      <c r="F10" s="51">
        <f>'Samorząd emisja'!F23</f>
        <v>1283</v>
      </c>
    </row>
    <row r="11" spans="2:10" ht="13.5" x14ac:dyDescent="0.25">
      <c r="C11" s="122"/>
      <c r="D11" s="46" t="s">
        <v>84</v>
      </c>
      <c r="E11" s="51">
        <f>'Społeczeństwo emisja'!F16</f>
        <v>19616.61</v>
      </c>
      <c r="F11" s="51">
        <f>'Społeczeństwo emisja'!F23</f>
        <v>17880.09</v>
      </c>
    </row>
    <row r="12" spans="2:10" ht="13.5" x14ac:dyDescent="0.25">
      <c r="C12" s="8"/>
      <c r="D12" s="53" t="s">
        <v>85</v>
      </c>
      <c r="E12" s="52">
        <f>E10/E9</f>
        <v>6.5502360228681833E-2</v>
      </c>
      <c r="F12" s="52">
        <f>F10/F9</f>
        <v>6.6951624190044509E-2</v>
      </c>
    </row>
    <row r="13" spans="2:10" ht="13.5" x14ac:dyDescent="0.25">
      <c r="C13" s="47" t="s">
        <v>65</v>
      </c>
    </row>
    <row r="14" spans="2:10" ht="13.5" x14ac:dyDescent="0.25">
      <c r="C14" s="47" t="s">
        <v>66</v>
      </c>
    </row>
    <row r="15" spans="2:10" ht="13.5" x14ac:dyDescent="0.25">
      <c r="C15" s="47"/>
    </row>
    <row r="16" spans="2:10" ht="13.5" x14ac:dyDescent="0.25">
      <c r="C16" s="47"/>
    </row>
    <row r="17" spans="2:7" ht="13.5" x14ac:dyDescent="0.25">
      <c r="C17" s="47"/>
    </row>
    <row r="18" spans="2:7" ht="13.5" x14ac:dyDescent="0.25">
      <c r="C18" s="47"/>
    </row>
    <row r="19" spans="2:7" x14ac:dyDescent="0.2">
      <c r="D19" s="2" t="s">
        <v>112</v>
      </c>
      <c r="E19" s="118">
        <f>E9-F9</f>
        <v>1828.5200000000004</v>
      </c>
      <c r="F19" s="119"/>
      <c r="G19" s="2" t="s">
        <v>111</v>
      </c>
    </row>
    <row r="20" spans="2:7" x14ac:dyDescent="0.2">
      <c r="E20" s="31">
        <f>E19/E9</f>
        <v>8.710718234570862E-2</v>
      </c>
    </row>
    <row r="21" spans="2:7" x14ac:dyDescent="0.2">
      <c r="D21" s="2" t="s">
        <v>113</v>
      </c>
      <c r="E21" s="118">
        <f>E10-F10</f>
        <v>92</v>
      </c>
      <c r="F21" s="119"/>
      <c r="G21" s="2" t="s">
        <v>111</v>
      </c>
    </row>
    <row r="22" spans="2:7" x14ac:dyDescent="0.2">
      <c r="E22" s="31">
        <f>E21/E10</f>
        <v>6.6909090909090904E-2</v>
      </c>
    </row>
    <row r="24" spans="2:7" ht="13.9" customHeight="1" x14ac:dyDescent="0.2">
      <c r="C24" s="90" t="s">
        <v>288</v>
      </c>
      <c r="D24" s="71"/>
      <c r="E24" s="71"/>
      <c r="F24" s="71"/>
    </row>
    <row r="25" spans="2:7" ht="13.9" customHeight="1" x14ac:dyDescent="0.2">
      <c r="B25" s="29"/>
      <c r="C25" s="91">
        <f>E19</f>
        <v>1828.5200000000004</v>
      </c>
      <c r="D25" s="73" t="s">
        <v>290</v>
      </c>
      <c r="E25" s="71"/>
      <c r="F25" s="71"/>
    </row>
    <row r="26" spans="2:7" ht="13.9" customHeight="1" x14ac:dyDescent="0.2">
      <c r="C26" s="92" t="s">
        <v>286</v>
      </c>
      <c r="D26" s="93">
        <f>E20</f>
        <v>8.710718234570862E-2</v>
      </c>
      <c r="E26" s="71"/>
      <c r="F26" s="71"/>
    </row>
    <row r="27" spans="2:7" ht="13.15" customHeight="1" x14ac:dyDescent="0.2">
      <c r="C27" s="90" t="s">
        <v>289</v>
      </c>
      <c r="D27" s="71"/>
      <c r="E27" s="71"/>
      <c r="F27" s="71"/>
    </row>
    <row r="28" spans="2:7" ht="18" x14ac:dyDescent="0.2">
      <c r="C28" s="74">
        <f>E21</f>
        <v>92</v>
      </c>
      <c r="D28" s="73" t="s">
        <v>290</v>
      </c>
    </row>
    <row r="29" spans="2:7" x14ac:dyDescent="0.2">
      <c r="C29" s="94" t="s">
        <v>287</v>
      </c>
      <c r="D29" s="95">
        <f>E22</f>
        <v>6.6909090909090904E-2</v>
      </c>
    </row>
  </sheetData>
  <mergeCells count="4">
    <mergeCell ref="B2:F2"/>
    <mergeCell ref="E19:F19"/>
    <mergeCell ref="E21:F21"/>
    <mergeCell ref="C9:C11"/>
  </mergeCells>
  <pageMargins left="0.7" right="0.7" top="0.75" bottom="0.75" header="0.3" footer="0.3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98"/>
  <sheetViews>
    <sheetView showGridLines="0" workbookViewId="0">
      <pane xSplit="1" ySplit="2" topLeftCell="B42" activePane="bottomRight" state="frozen"/>
      <selection pane="topRight" activeCell="B1" sqref="B1"/>
      <selection pane="bottomLeft" activeCell="A3" sqref="A3"/>
      <selection pane="bottomRight" activeCell="H79" sqref="H79"/>
    </sheetView>
  </sheetViews>
  <sheetFormatPr defaultRowHeight="12.75" x14ac:dyDescent="0.2"/>
  <cols>
    <col min="3" max="3" width="10.28515625" customWidth="1"/>
    <col min="4" max="4" width="30.85546875" customWidth="1"/>
    <col min="5" max="5" width="10.28515625" bestFit="1" customWidth="1"/>
    <col min="6" max="6" width="12.28515625" customWidth="1"/>
    <col min="8" max="9" width="9.140625" bestFit="1" customWidth="1"/>
  </cols>
  <sheetData>
    <row r="2" spans="2:12" ht="15.75" x14ac:dyDescent="0.25">
      <c r="B2" s="117" t="s">
        <v>114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4" spans="2:12" ht="14.25" x14ac:dyDescent="0.25">
      <c r="B4" s="1" t="s">
        <v>194</v>
      </c>
      <c r="C4" s="1" t="s">
        <v>279</v>
      </c>
    </row>
    <row r="5" spans="2:12" x14ac:dyDescent="0.2">
      <c r="B5" s="1"/>
      <c r="C5" s="1"/>
    </row>
    <row r="6" spans="2:12" x14ac:dyDescent="0.2">
      <c r="B6" s="1"/>
      <c r="C6" s="1" t="s">
        <v>293</v>
      </c>
    </row>
    <row r="7" spans="2:12" ht="16.149999999999999" customHeight="1" x14ac:dyDescent="0.2">
      <c r="C7" s="115" t="s">
        <v>309</v>
      </c>
      <c r="D7" s="115"/>
      <c r="E7" s="115"/>
      <c r="F7" s="115"/>
      <c r="G7" s="115"/>
      <c r="H7" s="115"/>
      <c r="I7" s="115"/>
      <c r="J7" s="115"/>
      <c r="K7" s="115"/>
      <c r="L7" s="115"/>
    </row>
    <row r="8" spans="2:12" ht="13.9" customHeight="1" x14ac:dyDescent="0.2">
      <c r="C8" s="115"/>
      <c r="D8" s="115"/>
      <c r="E8" s="115"/>
      <c r="F8" s="115"/>
      <c r="G8" s="115"/>
      <c r="H8" s="115"/>
      <c r="I8" s="115"/>
      <c r="J8" s="115"/>
      <c r="K8" s="115"/>
      <c r="L8" s="115"/>
    </row>
    <row r="9" spans="2:12" ht="13.9" customHeight="1" x14ac:dyDescent="0.2">
      <c r="C9" s="115"/>
      <c r="D9" s="115"/>
      <c r="E9" s="115"/>
      <c r="F9" s="115"/>
      <c r="G9" s="115"/>
      <c r="H9" s="115"/>
      <c r="I9" s="115"/>
      <c r="J9" s="115"/>
      <c r="K9" s="115"/>
      <c r="L9" s="115"/>
    </row>
    <row r="10" spans="2:12" ht="13.9" customHeight="1" x14ac:dyDescent="0.2">
      <c r="C10" s="115"/>
      <c r="D10" s="115"/>
      <c r="E10" s="115"/>
      <c r="F10" s="115"/>
      <c r="G10" s="115"/>
      <c r="H10" s="115"/>
      <c r="I10" s="115"/>
      <c r="J10" s="115"/>
      <c r="K10" s="115"/>
      <c r="L10" s="115"/>
    </row>
    <row r="11" spans="2:12" x14ac:dyDescent="0.2">
      <c r="C11" s="1">
        <v>22</v>
      </c>
      <c r="D11" s="1" t="s">
        <v>35</v>
      </c>
    </row>
    <row r="13" spans="2:12" ht="14.25" x14ac:dyDescent="0.25">
      <c r="B13" s="1" t="s">
        <v>161</v>
      </c>
      <c r="D13" s="1" t="s">
        <v>187</v>
      </c>
    </row>
    <row r="14" spans="2:12" s="32" customFormat="1" ht="23.45" customHeight="1" x14ac:dyDescent="0.2">
      <c r="C14" s="33" t="s">
        <v>31</v>
      </c>
      <c r="D14" s="33" t="s">
        <v>63</v>
      </c>
      <c r="E14" s="54" t="s">
        <v>93</v>
      </c>
      <c r="F14" s="54" t="s">
        <v>115</v>
      </c>
    </row>
    <row r="15" spans="2:12" x14ac:dyDescent="0.2">
      <c r="C15" s="49">
        <v>1</v>
      </c>
      <c r="D15" s="49">
        <v>2</v>
      </c>
      <c r="E15" s="49">
        <v>3</v>
      </c>
      <c r="F15" s="49">
        <v>4</v>
      </c>
    </row>
    <row r="16" spans="2:12" ht="13.5" x14ac:dyDescent="0.25">
      <c r="C16" s="120">
        <v>1</v>
      </c>
      <c r="D16" s="45" t="s">
        <v>82</v>
      </c>
      <c r="E16" s="50">
        <f>'Gmina emisja'!E9</f>
        <v>20991.61</v>
      </c>
      <c r="F16" s="50">
        <f>E16*(100-C11)/100</f>
        <v>16373.455800000002</v>
      </c>
      <c r="H16" s="29"/>
      <c r="I16" s="29"/>
    </row>
    <row r="17" spans="3:12" ht="13.5" x14ac:dyDescent="0.25">
      <c r="C17" s="121"/>
      <c r="D17" s="46" t="s">
        <v>83</v>
      </c>
      <c r="E17" s="51">
        <f>'Gmina emisja'!E10</f>
        <v>1375</v>
      </c>
      <c r="F17" s="51">
        <f>E17*(100-C11)/100</f>
        <v>1072.5</v>
      </c>
      <c r="H17" s="29"/>
      <c r="I17" s="29"/>
    </row>
    <row r="18" spans="3:12" ht="13.5" x14ac:dyDescent="0.25">
      <c r="C18" s="122"/>
      <c r="D18" s="46" t="s">
        <v>84</v>
      </c>
      <c r="E18" s="51">
        <f>'Gmina emisja'!E11</f>
        <v>19616.61</v>
      </c>
      <c r="F18" s="51">
        <f>E18*(100-C11)/100</f>
        <v>15300.955800000002</v>
      </c>
      <c r="H18" s="29"/>
    </row>
    <row r="19" spans="3:12" ht="13.5" x14ac:dyDescent="0.25">
      <c r="C19" s="49"/>
      <c r="D19" s="46" t="s">
        <v>85</v>
      </c>
      <c r="E19" s="100">
        <f>'Gmina emisja'!E12</f>
        <v>6.5502360228681833E-2</v>
      </c>
      <c r="F19" s="100">
        <f>F17/F16</f>
        <v>6.5502360228681833E-2</v>
      </c>
    </row>
    <row r="20" spans="3:12" ht="13.5" x14ac:dyDescent="0.25">
      <c r="C20" s="47" t="s">
        <v>65</v>
      </c>
      <c r="D20" s="58"/>
      <c r="E20" s="59"/>
      <c r="F20" s="59"/>
      <c r="H20" s="29"/>
    </row>
    <row r="21" spans="3:12" ht="13.5" x14ac:dyDescent="0.25">
      <c r="C21" s="47" t="s">
        <v>66</v>
      </c>
      <c r="D21" s="58"/>
      <c r="E21" s="59"/>
      <c r="F21" s="59"/>
    </row>
    <row r="22" spans="3:12" ht="13.5" x14ac:dyDescent="0.25">
      <c r="C22" s="57"/>
      <c r="D22" s="58"/>
      <c r="E22" s="59"/>
      <c r="F22" s="59"/>
      <c r="H22" s="29"/>
    </row>
    <row r="23" spans="3:12" ht="13.5" x14ac:dyDescent="0.25">
      <c r="D23" s="30"/>
      <c r="E23" s="29"/>
      <c r="F23" s="29"/>
    </row>
    <row r="24" spans="3:12" ht="16.5" x14ac:dyDescent="0.3">
      <c r="C24" s="2" t="s">
        <v>116</v>
      </c>
      <c r="D24" s="30"/>
      <c r="E24" s="29">
        <f>E16-F16</f>
        <v>4618.154199999999</v>
      </c>
      <c r="F24" s="3" t="s">
        <v>188</v>
      </c>
    </row>
    <row r="25" spans="3:12" ht="13.5" x14ac:dyDescent="0.25">
      <c r="D25" s="30"/>
      <c r="E25" s="29"/>
      <c r="F25" s="29"/>
    </row>
    <row r="26" spans="3:12" ht="13.5" x14ac:dyDescent="0.25">
      <c r="D26" s="30"/>
      <c r="E26" s="29"/>
      <c r="F26" s="29"/>
    </row>
    <row r="29" spans="3:12" ht="13.9" customHeight="1" x14ac:dyDescent="0.2">
      <c r="C29" s="115" t="s">
        <v>294</v>
      </c>
      <c r="D29" s="115"/>
      <c r="E29" s="115"/>
      <c r="F29" s="115"/>
      <c r="G29" s="115"/>
      <c r="H29" s="115"/>
      <c r="I29" s="115"/>
      <c r="J29" s="115"/>
      <c r="K29" s="115"/>
      <c r="L29" s="115"/>
    </row>
    <row r="30" spans="3:12" ht="13.9" customHeight="1" x14ac:dyDescent="0.2">
      <c r="C30" s="72">
        <f>E16</f>
        <v>20991.61</v>
      </c>
      <c r="D30" s="73" t="s">
        <v>190</v>
      </c>
      <c r="E30" s="71"/>
      <c r="F30" s="71"/>
      <c r="G30" s="71"/>
      <c r="H30" s="71"/>
      <c r="I30" s="71"/>
      <c r="J30" s="71"/>
      <c r="K30" s="71"/>
      <c r="L30" s="71"/>
    </row>
    <row r="31" spans="3:12" x14ac:dyDescent="0.2">
      <c r="C31" s="2" t="s">
        <v>191</v>
      </c>
    </row>
    <row r="32" spans="3:12" x14ac:dyDescent="0.2">
      <c r="C32" s="74">
        <f>F16</f>
        <v>16373.455800000002</v>
      </c>
      <c r="D32" s="1" t="str">
        <f>D30</f>
        <v xml:space="preserve">[MgCO2eq]/rok </v>
      </c>
    </row>
    <row r="33" spans="2:8" x14ac:dyDescent="0.2">
      <c r="C33" s="2" t="s">
        <v>192</v>
      </c>
    </row>
    <row r="34" spans="2:8" x14ac:dyDescent="0.2">
      <c r="C34" s="74">
        <f>E24</f>
        <v>4618.154199999999</v>
      </c>
      <c r="D34" s="1" t="str">
        <f>D32</f>
        <v xml:space="preserve">[MgCO2eq]/rok </v>
      </c>
      <c r="E34" s="29"/>
    </row>
    <row r="37" spans="2:8" x14ac:dyDescent="0.2">
      <c r="B37" s="1" t="s">
        <v>194</v>
      </c>
      <c r="C37" s="1" t="s">
        <v>195</v>
      </c>
    </row>
    <row r="38" spans="2:8" x14ac:dyDescent="0.2">
      <c r="C38" s="96"/>
    </row>
    <row r="39" spans="2:8" x14ac:dyDescent="0.2">
      <c r="C39" s="2" t="s">
        <v>291</v>
      </c>
    </row>
    <row r="40" spans="2:8" x14ac:dyDescent="0.2">
      <c r="C40">
        <v>10</v>
      </c>
      <c r="D40" s="2" t="s">
        <v>35</v>
      </c>
    </row>
    <row r="41" spans="2:8" x14ac:dyDescent="0.2">
      <c r="C41" s="75">
        <f>C57</f>
        <v>5956.6999999999971</v>
      </c>
      <c r="D41" s="2" t="s">
        <v>49</v>
      </c>
    </row>
    <row r="42" spans="2:8" x14ac:dyDescent="0.2">
      <c r="C42" s="2" t="s">
        <v>193</v>
      </c>
    </row>
    <row r="43" spans="2:8" x14ac:dyDescent="0.2">
      <c r="C43" s="2"/>
    </row>
    <row r="44" spans="2:8" x14ac:dyDescent="0.2">
      <c r="B44" s="1" t="s">
        <v>162</v>
      </c>
      <c r="D44" s="1" t="s">
        <v>196</v>
      </c>
    </row>
    <row r="45" spans="2:8" x14ac:dyDescent="0.2">
      <c r="C45" s="68" t="s">
        <v>31</v>
      </c>
      <c r="D45" s="68" t="s">
        <v>63</v>
      </c>
      <c r="E45" s="54" t="s">
        <v>93</v>
      </c>
      <c r="F45" s="54" t="s">
        <v>115</v>
      </c>
      <c r="G45" s="32"/>
      <c r="H45" s="32"/>
    </row>
    <row r="46" spans="2:8" x14ac:dyDescent="0.2">
      <c r="C46" s="49">
        <v>1</v>
      </c>
      <c r="D46" s="49">
        <v>2</v>
      </c>
      <c r="E46" s="49">
        <v>3</v>
      </c>
      <c r="F46" s="49">
        <v>4</v>
      </c>
    </row>
    <row r="47" spans="2:8" ht="13.5" x14ac:dyDescent="0.25">
      <c r="C47" s="120">
        <v>1</v>
      </c>
      <c r="D47" s="45" t="s">
        <v>33</v>
      </c>
      <c r="E47" s="50">
        <f>E48+E49</f>
        <v>59567</v>
      </c>
      <c r="F47" s="50">
        <f>F48+F49</f>
        <v>53610.3</v>
      </c>
    </row>
    <row r="48" spans="2:8" ht="13.5" x14ac:dyDescent="0.25">
      <c r="C48" s="121"/>
      <c r="D48" s="46" t="s">
        <v>276</v>
      </c>
      <c r="E48" s="51">
        <f>'Samorząd emisja'!E16</f>
        <v>3441</v>
      </c>
      <c r="F48" s="51">
        <f>E48*(100-C40)/100</f>
        <v>3096.9</v>
      </c>
    </row>
    <row r="49" spans="2:6" ht="13.5" x14ac:dyDescent="0.25">
      <c r="C49" s="122"/>
      <c r="D49" s="46" t="s">
        <v>277</v>
      </c>
      <c r="E49" s="51">
        <f>'Społeczeństwo emisja'!E16</f>
        <v>56126</v>
      </c>
      <c r="F49" s="51">
        <f>E49*(100-C40)/100</f>
        <v>50513.4</v>
      </c>
    </row>
    <row r="50" spans="2:6" ht="13.5" x14ac:dyDescent="0.25">
      <c r="C50" s="49"/>
      <c r="D50" s="46" t="s">
        <v>197</v>
      </c>
      <c r="E50" s="55">
        <f>E48/E47</f>
        <v>5.7766884348716574E-2</v>
      </c>
      <c r="F50" s="55">
        <f>F48/F47</f>
        <v>5.7766884348716567E-2</v>
      </c>
    </row>
    <row r="51" spans="2:6" ht="13.5" x14ac:dyDescent="0.25">
      <c r="C51" s="57"/>
      <c r="D51" s="58"/>
      <c r="E51" s="59"/>
      <c r="F51" s="59"/>
    </row>
    <row r="52" spans="2:6" ht="13.5" x14ac:dyDescent="0.25">
      <c r="C52" s="76" t="s">
        <v>198</v>
      </c>
      <c r="D52" s="58"/>
      <c r="E52" s="59"/>
      <c r="F52" s="59"/>
    </row>
    <row r="53" spans="2:6" ht="16.5" x14ac:dyDescent="0.2">
      <c r="C53" s="72">
        <f>E47</f>
        <v>59567</v>
      </c>
      <c r="D53" s="73" t="s">
        <v>29</v>
      </c>
      <c r="E53" s="97"/>
      <c r="F53" s="59"/>
    </row>
    <row r="54" spans="2:6" x14ac:dyDescent="0.2">
      <c r="C54" s="2" t="s">
        <v>199</v>
      </c>
    </row>
    <row r="55" spans="2:6" ht="16.5" x14ac:dyDescent="0.2">
      <c r="C55" s="72">
        <f>C53*(100-C40)/100</f>
        <v>53610.3</v>
      </c>
      <c r="D55" s="73" t="s">
        <v>29</v>
      </c>
    </row>
    <row r="56" spans="2:6" ht="16.5" x14ac:dyDescent="0.2">
      <c r="C56" s="78" t="s">
        <v>200</v>
      </c>
      <c r="D56" s="73"/>
    </row>
    <row r="57" spans="2:6" ht="16.5" x14ac:dyDescent="0.2">
      <c r="C57" s="72">
        <f>C53-C55</f>
        <v>5956.6999999999971</v>
      </c>
      <c r="D57" s="73" t="s">
        <v>29</v>
      </c>
    </row>
    <row r="58" spans="2:6" ht="16.5" x14ac:dyDescent="0.2">
      <c r="C58" s="77"/>
      <c r="D58" s="73"/>
    </row>
    <row r="59" spans="2:6" ht="16.5" x14ac:dyDescent="0.2">
      <c r="C59" s="77"/>
      <c r="D59" s="73"/>
    </row>
    <row r="60" spans="2:6" ht="16.5" x14ac:dyDescent="0.2">
      <c r="C60" s="77"/>
      <c r="D60" s="73"/>
    </row>
    <row r="61" spans="2:6" ht="16.5" x14ac:dyDescent="0.2">
      <c r="C61" s="77"/>
      <c r="D61" s="73"/>
    </row>
    <row r="62" spans="2:6" ht="16.5" x14ac:dyDescent="0.2">
      <c r="C62" s="77"/>
      <c r="D62" s="73"/>
    </row>
    <row r="63" spans="2:6" x14ac:dyDescent="0.2">
      <c r="B63" s="1"/>
      <c r="C63" s="1"/>
    </row>
    <row r="64" spans="2:6" x14ac:dyDescent="0.2">
      <c r="B64" s="1" t="s">
        <v>194</v>
      </c>
      <c r="C64" s="1" t="s">
        <v>178</v>
      </c>
    </row>
    <row r="65" spans="2:6" x14ac:dyDescent="0.2">
      <c r="B65" s="1"/>
      <c r="C65" s="1"/>
    </row>
    <row r="66" spans="2:6" x14ac:dyDescent="0.2">
      <c r="C66" s="2" t="s">
        <v>292</v>
      </c>
    </row>
    <row r="67" spans="2:6" ht="16.5" x14ac:dyDescent="0.2">
      <c r="C67" s="72">
        <v>10.3</v>
      </c>
      <c r="D67" s="72" t="s">
        <v>35</v>
      </c>
    </row>
    <row r="68" spans="2:6" ht="16.5" x14ac:dyDescent="0.2">
      <c r="C68" s="72">
        <f>((C67)/100)*C55</f>
        <v>5521.8609000000006</v>
      </c>
      <c r="D68" s="72" t="s">
        <v>29</v>
      </c>
      <c r="E68" s="29"/>
    </row>
    <row r="69" spans="2:6" x14ac:dyDescent="0.2">
      <c r="C69" s="2" t="s">
        <v>272</v>
      </c>
    </row>
    <row r="71" spans="2:6" x14ac:dyDescent="0.2">
      <c r="B71" s="1" t="s">
        <v>163</v>
      </c>
      <c r="D71" s="1" t="s">
        <v>274</v>
      </c>
    </row>
    <row r="72" spans="2:6" x14ac:dyDescent="0.2">
      <c r="C72" s="68" t="s">
        <v>31</v>
      </c>
      <c r="D72" s="68" t="s">
        <v>63</v>
      </c>
      <c r="E72" s="54" t="s">
        <v>93</v>
      </c>
      <c r="F72" s="54" t="s">
        <v>115</v>
      </c>
    </row>
    <row r="73" spans="2:6" x14ac:dyDescent="0.2">
      <c r="C73" s="49">
        <v>1</v>
      </c>
      <c r="D73" s="49">
        <v>2</v>
      </c>
      <c r="E73" s="49">
        <v>3</v>
      </c>
      <c r="F73" s="49">
        <v>4</v>
      </c>
    </row>
    <row r="74" spans="2:6" ht="13.5" x14ac:dyDescent="0.25">
      <c r="C74" s="120">
        <v>1</v>
      </c>
      <c r="D74" s="45" t="s">
        <v>275</v>
      </c>
      <c r="E74" s="50">
        <f>E75+E76</f>
        <v>350</v>
      </c>
      <c r="F74" s="50">
        <v>5916</v>
      </c>
    </row>
    <row r="75" spans="2:6" ht="13.5" x14ac:dyDescent="0.25">
      <c r="C75" s="121"/>
      <c r="D75" s="46" t="s">
        <v>278</v>
      </c>
      <c r="E75" s="51">
        <f>'Samorząd emisja'!E42</f>
        <v>0</v>
      </c>
      <c r="F75" s="51">
        <f>F74-F76</f>
        <v>5236</v>
      </c>
    </row>
    <row r="76" spans="2:6" ht="13.5" x14ac:dyDescent="0.25">
      <c r="C76" s="122"/>
      <c r="D76" s="46" t="s">
        <v>277</v>
      </c>
      <c r="E76" s="51">
        <v>350</v>
      </c>
      <c r="F76" s="51">
        <v>680</v>
      </c>
    </row>
    <row r="77" spans="2:6" ht="13.5" x14ac:dyDescent="0.25">
      <c r="C77" s="49"/>
      <c r="D77" s="46" t="s">
        <v>197</v>
      </c>
      <c r="E77" s="55">
        <v>0</v>
      </c>
      <c r="F77" s="55">
        <f>F75/F74</f>
        <v>0.88505747126436785</v>
      </c>
    </row>
    <row r="78" spans="2:6" ht="13.5" x14ac:dyDescent="0.25">
      <c r="C78" s="57"/>
      <c r="D78" s="58"/>
      <c r="E78" s="59"/>
      <c r="F78" s="59"/>
    </row>
    <row r="79" spans="2:6" ht="13.5" x14ac:dyDescent="0.25">
      <c r="C79" s="57"/>
      <c r="D79" s="58"/>
      <c r="E79" s="59"/>
      <c r="F79" s="59"/>
    </row>
    <row r="81" spans="2:8" x14ac:dyDescent="0.2">
      <c r="C81" s="2" t="s">
        <v>302</v>
      </c>
    </row>
    <row r="82" spans="2:8" x14ac:dyDescent="0.2">
      <c r="D82" s="61">
        <v>2003</v>
      </c>
      <c r="E82" s="61">
        <v>2020</v>
      </c>
    </row>
    <row r="83" spans="2:8" x14ac:dyDescent="0.2">
      <c r="D83" s="55">
        <f>E74/C55</f>
        <v>6.5285961839422644E-3</v>
      </c>
      <c r="E83" s="55">
        <f>F74/C55</f>
        <v>0.11035192864057838</v>
      </c>
    </row>
    <row r="85" spans="2:8" x14ac:dyDescent="0.2">
      <c r="D85" s="2"/>
    </row>
    <row r="86" spans="2:8" x14ac:dyDescent="0.2">
      <c r="D86" s="2" t="s">
        <v>301</v>
      </c>
      <c r="E86" s="104">
        <f>11-0.7</f>
        <v>10.3</v>
      </c>
      <c r="F86" s="2" t="s">
        <v>35</v>
      </c>
    </row>
    <row r="87" spans="2:8" x14ac:dyDescent="0.2">
      <c r="D87" s="2"/>
    </row>
    <row r="89" spans="2:8" x14ac:dyDescent="0.2">
      <c r="B89" s="1" t="s">
        <v>310</v>
      </c>
    </row>
    <row r="91" spans="2:8" x14ac:dyDescent="0.2">
      <c r="C91" t="str">
        <f>'Gmina emisja'!E7</f>
        <v>Rok 2003</v>
      </c>
      <c r="D91" s="32" t="str">
        <f>'Gmina emisja'!F7</f>
        <v>Rok 2013</v>
      </c>
      <c r="E91" s="29" t="str">
        <f>F14</f>
        <v>Rok 2020</v>
      </c>
    </row>
    <row r="92" spans="2:8" x14ac:dyDescent="0.2">
      <c r="C92">
        <f>'Gmina emisja'!E9</f>
        <v>20991.61</v>
      </c>
      <c r="D92" s="32">
        <f>'Gmina emisja'!F9</f>
        <v>19163.09</v>
      </c>
      <c r="E92" s="29">
        <f>D92-'Harmonogram uzg. z UG '!H46</f>
        <v>16374.1</v>
      </c>
      <c r="H92" s="29"/>
    </row>
    <row r="94" spans="2:8" x14ac:dyDescent="0.2">
      <c r="C94" t="s">
        <v>304</v>
      </c>
      <c r="G94" s="103"/>
    </row>
    <row r="95" spans="2:8" x14ac:dyDescent="0.2">
      <c r="C95" t="s">
        <v>303</v>
      </c>
    </row>
    <row r="96" spans="2:8" ht="16.5" x14ac:dyDescent="0.3">
      <c r="C96" s="29">
        <f>C92-E92</f>
        <v>4617.51</v>
      </c>
      <c r="D96" s="3" t="s">
        <v>188</v>
      </c>
    </row>
    <row r="98" spans="3:4" x14ac:dyDescent="0.2">
      <c r="C98" s="102">
        <f>100*C96/C92</f>
        <v>21.996931154875686</v>
      </c>
      <c r="D98" s="1" t="s">
        <v>86</v>
      </c>
    </row>
  </sheetData>
  <mergeCells count="6">
    <mergeCell ref="C47:C49"/>
    <mergeCell ref="C74:C76"/>
    <mergeCell ref="C7:L10"/>
    <mergeCell ref="C16:C18"/>
    <mergeCell ref="B2:L2"/>
    <mergeCell ref="C29:L29"/>
  </mergeCells>
  <pageMargins left="0.7" right="0.7" top="0.75" bottom="0.75" header="0.3" footer="0.3"/>
  <pageSetup paperSize="8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1"/>
  <sheetViews>
    <sheetView showGridLines="0" tabSelected="1" zoomScale="85" zoomScaleNormal="85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D41" sqref="D41"/>
    </sheetView>
  </sheetViews>
  <sheetFormatPr defaultRowHeight="12.75" x14ac:dyDescent="0.2"/>
  <cols>
    <col min="1" max="1" width="10.42578125" customWidth="1"/>
    <col min="2" max="2" width="10.28515625" customWidth="1"/>
    <col min="3" max="3" width="27" customWidth="1"/>
    <col min="4" max="4" width="74.85546875" customWidth="1"/>
    <col min="5" max="5" width="28.140625" customWidth="1"/>
    <col min="6" max="6" width="15.85546875" customWidth="1"/>
    <col min="7" max="7" width="0.140625" style="99" customWidth="1"/>
    <col min="8" max="8" width="22.85546875" style="13" customWidth="1"/>
    <col min="9" max="9" width="28.85546875" customWidth="1"/>
    <col min="10" max="10" width="126.7109375" customWidth="1"/>
  </cols>
  <sheetData>
    <row r="2" spans="1:10" ht="15.75" x14ac:dyDescent="0.2">
      <c r="B2" s="114" t="s">
        <v>184</v>
      </c>
      <c r="C2" s="114"/>
      <c r="D2" s="114"/>
      <c r="E2" s="114"/>
      <c r="F2" s="114"/>
      <c r="G2" s="114"/>
      <c r="H2" s="114"/>
    </row>
    <row r="4" spans="1:10" ht="13.5" thickBot="1" x14ac:dyDescent="0.25">
      <c r="A4" s="1" t="s">
        <v>164</v>
      </c>
      <c r="B4" s="63" t="s">
        <v>170</v>
      </c>
    </row>
    <row r="5" spans="1:10" ht="47.25" customHeight="1" thickBot="1" x14ac:dyDescent="0.25">
      <c r="B5" s="208" t="s">
        <v>31</v>
      </c>
      <c r="C5" s="208" t="s">
        <v>123</v>
      </c>
      <c r="D5" s="208" t="s">
        <v>124</v>
      </c>
      <c r="E5" s="209" t="s">
        <v>125</v>
      </c>
      <c r="F5" s="209" t="s">
        <v>129</v>
      </c>
      <c r="G5" s="210" t="s">
        <v>273</v>
      </c>
      <c r="H5" s="209" t="s">
        <v>330</v>
      </c>
      <c r="I5" s="208" t="s">
        <v>126</v>
      </c>
      <c r="J5" s="211" t="s">
        <v>201</v>
      </c>
    </row>
    <row r="6" spans="1:10" ht="13.5" customHeight="1" thickBot="1" x14ac:dyDescent="0.25">
      <c r="B6" s="212"/>
      <c r="C6" s="212"/>
      <c r="D6" s="212"/>
      <c r="E6" s="213" t="s">
        <v>127</v>
      </c>
      <c r="F6" s="213" t="s">
        <v>128</v>
      </c>
      <c r="G6" s="214"/>
      <c r="H6" s="213" t="s">
        <v>331</v>
      </c>
      <c r="I6" s="212"/>
      <c r="J6" s="215"/>
    </row>
    <row r="7" spans="1:10" ht="32.25" thickBot="1" x14ac:dyDescent="0.25">
      <c r="B7" s="216" t="s">
        <v>305</v>
      </c>
      <c r="C7" s="217" t="s">
        <v>130</v>
      </c>
      <c r="D7" s="218" t="s">
        <v>202</v>
      </c>
      <c r="E7" s="219">
        <v>9000000</v>
      </c>
      <c r="F7" s="219">
        <v>1402</v>
      </c>
      <c r="G7" s="220"/>
      <c r="H7" s="221">
        <f>ROUND(F7*'Wskaźniki emisji'!$G$21,2)</f>
        <v>473.88</v>
      </c>
      <c r="I7" s="222" t="s">
        <v>131</v>
      </c>
      <c r="J7" s="216" t="s">
        <v>105</v>
      </c>
    </row>
    <row r="8" spans="1:10" ht="32.25" thickBot="1" x14ac:dyDescent="0.25">
      <c r="B8" s="223" t="s">
        <v>306</v>
      </c>
      <c r="C8" s="224" t="s">
        <v>130</v>
      </c>
      <c r="D8" s="225" t="s">
        <v>203</v>
      </c>
      <c r="E8" s="226">
        <v>2000000</v>
      </c>
      <c r="F8" s="227">
        <v>333</v>
      </c>
      <c r="G8" s="214"/>
      <c r="H8" s="228">
        <f>ROUND(F8*'Wskaźniki emisji'!$G$21,2)</f>
        <v>112.55</v>
      </c>
      <c r="I8" s="222" t="s">
        <v>204</v>
      </c>
      <c r="J8" s="229" t="s">
        <v>205</v>
      </c>
    </row>
    <row r="9" spans="1:10" ht="32.25" thickBot="1" x14ac:dyDescent="0.25">
      <c r="B9" s="223" t="s">
        <v>307</v>
      </c>
      <c r="C9" s="224" t="s">
        <v>130</v>
      </c>
      <c r="D9" s="225" t="s">
        <v>206</v>
      </c>
      <c r="E9" s="226">
        <v>2000000</v>
      </c>
      <c r="F9" s="227">
        <v>333</v>
      </c>
      <c r="G9" s="214"/>
      <c r="H9" s="228">
        <f>ROUND(F9*'Wskaźniki emisji'!$G$21,2)</f>
        <v>112.55</v>
      </c>
      <c r="I9" s="222" t="s">
        <v>204</v>
      </c>
      <c r="J9" s="229" t="s">
        <v>205</v>
      </c>
    </row>
    <row r="10" spans="1:10" ht="32.25" thickBot="1" x14ac:dyDescent="0.25">
      <c r="B10" s="223" t="s">
        <v>308</v>
      </c>
      <c r="C10" s="224" t="s">
        <v>130</v>
      </c>
      <c r="D10" s="225" t="s">
        <v>207</v>
      </c>
      <c r="E10" s="226">
        <v>1000000</v>
      </c>
      <c r="F10" s="227">
        <v>166</v>
      </c>
      <c r="G10" s="214"/>
      <c r="H10" s="228">
        <f>ROUND(F10*'Wskaźniki emisji'!$G$21,2)</f>
        <v>56.11</v>
      </c>
      <c r="I10" s="222" t="s">
        <v>204</v>
      </c>
      <c r="J10" s="229" t="s">
        <v>205</v>
      </c>
    </row>
    <row r="11" spans="1:10" ht="16.5" thickBot="1" x14ac:dyDescent="0.25">
      <c r="B11" s="223" t="s">
        <v>208</v>
      </c>
      <c r="C11" s="224" t="s">
        <v>130</v>
      </c>
      <c r="D11" s="225" t="s">
        <v>209</v>
      </c>
      <c r="E11" s="226">
        <v>2000000</v>
      </c>
      <c r="F11" s="227">
        <v>285</v>
      </c>
      <c r="G11" s="214"/>
      <c r="H11" s="228">
        <f>ROUND(F11*'Wskaźniki emisji'!$G$21,2)</f>
        <v>96.33</v>
      </c>
      <c r="I11" s="222" t="s">
        <v>210</v>
      </c>
      <c r="J11" s="229" t="s">
        <v>211</v>
      </c>
    </row>
    <row r="12" spans="1:10" ht="16.5" thickBot="1" x14ac:dyDescent="0.25">
      <c r="B12" s="223" t="s">
        <v>212</v>
      </c>
      <c r="C12" s="224" t="s">
        <v>130</v>
      </c>
      <c r="D12" s="225" t="s">
        <v>213</v>
      </c>
      <c r="E12" s="226">
        <v>2000000</v>
      </c>
      <c r="F12" s="227">
        <v>285</v>
      </c>
      <c r="G12" s="214"/>
      <c r="H12" s="228">
        <f>ROUND(F12*'Wskaźniki emisji'!$G$21,2)</f>
        <v>96.33</v>
      </c>
      <c r="I12" s="222" t="s">
        <v>210</v>
      </c>
      <c r="J12" s="229" t="s">
        <v>211</v>
      </c>
    </row>
    <row r="13" spans="1:10" ht="32.25" thickBot="1" x14ac:dyDescent="0.25">
      <c r="B13" s="216" t="s">
        <v>214</v>
      </c>
      <c r="C13" s="217" t="s">
        <v>130</v>
      </c>
      <c r="D13" s="218" t="s">
        <v>215</v>
      </c>
      <c r="E13" s="219">
        <v>240000</v>
      </c>
      <c r="F13" s="213">
        <v>36</v>
      </c>
      <c r="G13" s="214">
        <f>F13</f>
        <v>36</v>
      </c>
      <c r="H13" s="221">
        <f>ROUND(F13*'Wskaźniki emisji'!$G$20,2)</f>
        <v>29.23</v>
      </c>
      <c r="I13" s="222" t="s">
        <v>131</v>
      </c>
      <c r="J13" s="216" t="s">
        <v>105</v>
      </c>
    </row>
    <row r="14" spans="1:10" ht="16.5" thickBot="1" x14ac:dyDescent="0.25">
      <c r="B14" s="223" t="s">
        <v>216</v>
      </c>
      <c r="C14" s="224" t="s">
        <v>130</v>
      </c>
      <c r="D14" s="225" t="s">
        <v>217</v>
      </c>
      <c r="E14" s="226">
        <v>60000</v>
      </c>
      <c r="F14" s="227">
        <v>9</v>
      </c>
      <c r="G14" s="214"/>
      <c r="H14" s="228">
        <f>ROUND(F14*'Wskaźniki emisji'!$G$20,2)</f>
        <v>7.31</v>
      </c>
      <c r="I14" s="222">
        <v>2018</v>
      </c>
      <c r="J14" s="230" t="s">
        <v>218</v>
      </c>
    </row>
    <row r="15" spans="1:10" ht="16.5" thickBot="1" x14ac:dyDescent="0.25">
      <c r="B15" s="223" t="s">
        <v>219</v>
      </c>
      <c r="C15" s="224" t="s">
        <v>130</v>
      </c>
      <c r="D15" s="225" t="s">
        <v>220</v>
      </c>
      <c r="E15" s="226">
        <v>60000</v>
      </c>
      <c r="F15" s="227">
        <v>9</v>
      </c>
      <c r="G15" s="214"/>
      <c r="H15" s="228">
        <f>ROUND(F15*'Wskaźniki emisji'!$G$20,2)</f>
        <v>7.31</v>
      </c>
      <c r="I15" s="222">
        <v>2018</v>
      </c>
      <c r="J15" s="230" t="s">
        <v>218</v>
      </c>
    </row>
    <row r="16" spans="1:10" ht="16.5" thickBot="1" x14ac:dyDescent="0.25">
      <c r="B16" s="223" t="s">
        <v>221</v>
      </c>
      <c r="C16" s="224" t="s">
        <v>130</v>
      </c>
      <c r="D16" s="225" t="s">
        <v>209</v>
      </c>
      <c r="E16" s="226">
        <v>60000</v>
      </c>
      <c r="F16" s="227">
        <v>9</v>
      </c>
      <c r="G16" s="214"/>
      <c r="H16" s="228">
        <f>ROUND(F16*'Wskaźniki emisji'!$G$20,2)</f>
        <v>7.31</v>
      </c>
      <c r="I16" s="222">
        <v>2018</v>
      </c>
      <c r="J16" s="230" t="s">
        <v>218</v>
      </c>
    </row>
    <row r="17" spans="2:10" ht="16.5" thickBot="1" x14ac:dyDescent="0.25">
      <c r="B17" s="223" t="s">
        <v>222</v>
      </c>
      <c r="C17" s="224" t="s">
        <v>130</v>
      </c>
      <c r="D17" s="225" t="s">
        <v>213</v>
      </c>
      <c r="E17" s="226">
        <v>60000</v>
      </c>
      <c r="F17" s="227">
        <v>9</v>
      </c>
      <c r="G17" s="214"/>
      <c r="H17" s="228">
        <f>ROUND(F17*'Wskaźniki emisji'!$G$20,2)</f>
        <v>7.31</v>
      </c>
      <c r="I17" s="222">
        <v>2018</v>
      </c>
      <c r="J17" s="230" t="s">
        <v>218</v>
      </c>
    </row>
    <row r="18" spans="2:10" ht="32.25" thickBot="1" x14ac:dyDescent="0.25">
      <c r="B18" s="216" t="s">
        <v>223</v>
      </c>
      <c r="C18" s="217" t="s">
        <v>130</v>
      </c>
      <c r="D18" s="218" t="s">
        <v>224</v>
      </c>
      <c r="E18" s="219">
        <v>4200000</v>
      </c>
      <c r="F18" s="219">
        <v>5200</v>
      </c>
      <c r="G18" s="220">
        <f>F18</f>
        <v>5200</v>
      </c>
      <c r="H18" s="221">
        <f>ROUND(F18*'Wskaźniki emisji'!$G$21,2)</f>
        <v>1757.6</v>
      </c>
      <c r="I18" s="222" t="s">
        <v>131</v>
      </c>
      <c r="J18" s="216" t="s">
        <v>105</v>
      </c>
    </row>
    <row r="19" spans="2:10" ht="16.5" thickBot="1" x14ac:dyDescent="0.25">
      <c r="B19" s="223" t="s">
        <v>225</v>
      </c>
      <c r="C19" s="224" t="s">
        <v>130</v>
      </c>
      <c r="D19" s="225" t="s">
        <v>226</v>
      </c>
      <c r="E19" s="226">
        <v>4100000</v>
      </c>
      <c r="F19" s="226">
        <v>5076</v>
      </c>
      <c r="G19" s="231"/>
      <c r="H19" s="228">
        <f>ROUND(F19*'Wskaźniki emisji'!$G$21,2)</f>
        <v>1715.69</v>
      </c>
      <c r="I19" s="222" t="s">
        <v>227</v>
      </c>
      <c r="J19" s="230" t="s">
        <v>218</v>
      </c>
    </row>
    <row r="20" spans="2:10" ht="16.5" thickBot="1" x14ac:dyDescent="0.25">
      <c r="B20" s="223" t="s">
        <v>228</v>
      </c>
      <c r="C20" s="224" t="s">
        <v>130</v>
      </c>
      <c r="D20" s="225" t="s">
        <v>229</v>
      </c>
      <c r="E20" s="226">
        <v>50000</v>
      </c>
      <c r="F20" s="227">
        <v>62</v>
      </c>
      <c r="G20" s="214"/>
      <c r="H20" s="228">
        <f>ROUND(F20*'Wskaźniki emisji'!$G$21,2)</f>
        <v>20.96</v>
      </c>
      <c r="I20" s="222" t="s">
        <v>227</v>
      </c>
      <c r="J20" s="230" t="s">
        <v>218</v>
      </c>
    </row>
    <row r="21" spans="2:10" ht="16.5" thickBot="1" x14ac:dyDescent="0.25">
      <c r="B21" s="223" t="s">
        <v>230</v>
      </c>
      <c r="C21" s="224" t="s">
        <v>130</v>
      </c>
      <c r="D21" s="225" t="s">
        <v>231</v>
      </c>
      <c r="E21" s="226">
        <v>50000</v>
      </c>
      <c r="F21" s="227">
        <v>62</v>
      </c>
      <c r="G21" s="214"/>
      <c r="H21" s="228">
        <f>ROUND(F21*'Wskaźniki emisji'!$G$21,2)</f>
        <v>20.96</v>
      </c>
      <c r="I21" s="222" t="s">
        <v>227</v>
      </c>
      <c r="J21" s="230" t="s">
        <v>218</v>
      </c>
    </row>
    <row r="22" spans="2:10" ht="16.5" thickBot="1" x14ac:dyDescent="0.25">
      <c r="B22" s="216">
        <v>4</v>
      </c>
      <c r="C22" s="217" t="s">
        <v>132</v>
      </c>
      <c r="D22" s="217" t="s">
        <v>133</v>
      </c>
      <c r="E22" s="232">
        <v>400000</v>
      </c>
      <c r="F22" s="213">
        <v>120</v>
      </c>
      <c r="G22" s="214"/>
      <c r="H22" s="221">
        <f>ROUND(F22*'Wskaźniki emisji'!$G$20,2)</f>
        <v>97.44</v>
      </c>
      <c r="I22" s="222" t="s">
        <v>131</v>
      </c>
      <c r="J22" s="233"/>
    </row>
    <row r="23" spans="2:10" ht="16.5" thickBot="1" x14ac:dyDescent="0.25">
      <c r="B23" s="223" t="s">
        <v>232</v>
      </c>
      <c r="C23" s="224" t="s">
        <v>132</v>
      </c>
      <c r="D23" s="224" t="s">
        <v>233</v>
      </c>
      <c r="E23" s="226">
        <v>40000</v>
      </c>
      <c r="F23" s="227">
        <v>12</v>
      </c>
      <c r="G23" s="214"/>
      <c r="H23" s="228">
        <f>ROUND(F23*'Wskaźniki emisji'!$G$20,2)</f>
        <v>9.74</v>
      </c>
      <c r="I23" s="222">
        <v>2017</v>
      </c>
      <c r="J23" s="234" t="s">
        <v>234</v>
      </c>
    </row>
    <row r="24" spans="2:10" ht="16.5" thickBot="1" x14ac:dyDescent="0.25">
      <c r="B24" s="223" t="s">
        <v>235</v>
      </c>
      <c r="C24" s="224" t="s">
        <v>132</v>
      </c>
      <c r="D24" s="224" t="s">
        <v>236</v>
      </c>
      <c r="E24" s="226">
        <v>30000</v>
      </c>
      <c r="F24" s="227">
        <v>9</v>
      </c>
      <c r="G24" s="214"/>
      <c r="H24" s="228">
        <f>ROUND(F24*'Wskaźniki emisji'!$G$20,2)</f>
        <v>7.31</v>
      </c>
      <c r="I24" s="222">
        <v>2017</v>
      </c>
      <c r="J24" s="230" t="s">
        <v>234</v>
      </c>
    </row>
    <row r="25" spans="2:10" ht="16.5" thickBot="1" x14ac:dyDescent="0.25">
      <c r="B25" s="223" t="s">
        <v>237</v>
      </c>
      <c r="C25" s="224" t="s">
        <v>132</v>
      </c>
      <c r="D25" s="224" t="s">
        <v>238</v>
      </c>
      <c r="E25" s="226">
        <v>35000</v>
      </c>
      <c r="F25" s="227">
        <v>10.5</v>
      </c>
      <c r="G25" s="214"/>
      <c r="H25" s="228">
        <f>ROUND(F25*'Wskaźniki emisji'!$G$20,2)</f>
        <v>8.5299999999999994</v>
      </c>
      <c r="I25" s="222">
        <v>2017</v>
      </c>
      <c r="J25" s="230" t="s">
        <v>234</v>
      </c>
    </row>
    <row r="26" spans="2:10" ht="16.5" thickBot="1" x14ac:dyDescent="0.25">
      <c r="B26" s="223" t="s">
        <v>239</v>
      </c>
      <c r="C26" s="224" t="s">
        <v>132</v>
      </c>
      <c r="D26" s="224" t="s">
        <v>300</v>
      </c>
      <c r="E26" s="226">
        <v>295000</v>
      </c>
      <c r="F26" s="227">
        <v>88.5</v>
      </c>
      <c r="G26" s="214"/>
      <c r="H26" s="228">
        <f>ROUND(F26*'Wskaźniki emisji'!$G$20,2)</f>
        <v>71.86</v>
      </c>
      <c r="I26" s="222" t="s">
        <v>240</v>
      </c>
      <c r="J26" s="230" t="s">
        <v>241</v>
      </c>
    </row>
    <row r="27" spans="2:10" ht="16.5" thickBot="1" x14ac:dyDescent="0.25">
      <c r="B27" s="216">
        <v>5</v>
      </c>
      <c r="C27" s="217" t="s">
        <v>134</v>
      </c>
      <c r="D27" s="217" t="s">
        <v>135</v>
      </c>
      <c r="E27" s="219">
        <v>800000</v>
      </c>
      <c r="F27" s="213">
        <v>330</v>
      </c>
      <c r="G27" s="214">
        <f>F27</f>
        <v>330</v>
      </c>
      <c r="H27" s="221">
        <f>ROUND(F27*'Wskaźniki emisji'!$G$21,2)</f>
        <v>111.54</v>
      </c>
      <c r="I27" s="222" t="s">
        <v>131</v>
      </c>
      <c r="J27" s="230" t="s">
        <v>242</v>
      </c>
    </row>
    <row r="28" spans="2:10" ht="32.25" thickBot="1" x14ac:dyDescent="0.25">
      <c r="B28" s="216">
        <v>6</v>
      </c>
      <c r="C28" s="217" t="s">
        <v>134</v>
      </c>
      <c r="D28" s="218" t="s">
        <v>177</v>
      </c>
      <c r="E28" s="219">
        <v>500000</v>
      </c>
      <c r="F28" s="213">
        <v>350</v>
      </c>
      <c r="G28" s="214">
        <f>F28</f>
        <v>350</v>
      </c>
      <c r="H28" s="221">
        <f>ROUND(F28*'Wskaźniki emisji'!$G$21,2)</f>
        <v>118.3</v>
      </c>
      <c r="I28" s="222" t="s">
        <v>131</v>
      </c>
      <c r="J28" s="235" t="s">
        <v>243</v>
      </c>
    </row>
    <row r="29" spans="2:10" ht="16.5" thickBot="1" x14ac:dyDescent="0.25">
      <c r="B29" s="216">
        <v>7</v>
      </c>
      <c r="C29" s="217" t="s">
        <v>136</v>
      </c>
      <c r="D29" s="217" t="s">
        <v>137</v>
      </c>
      <c r="E29" s="219">
        <v>2500000</v>
      </c>
      <c r="F29" s="213">
        <v>670</v>
      </c>
      <c r="G29" s="214"/>
      <c r="H29" s="221">
        <f>ROUND(F29*0.3,2)</f>
        <v>201</v>
      </c>
      <c r="I29" s="222" t="s">
        <v>131</v>
      </c>
      <c r="J29" s="234"/>
    </row>
    <row r="30" spans="2:10" ht="48" thickBot="1" x14ac:dyDescent="0.25">
      <c r="B30" s="223" t="s">
        <v>244</v>
      </c>
      <c r="C30" s="224" t="s">
        <v>136</v>
      </c>
      <c r="D30" s="224" t="s">
        <v>245</v>
      </c>
      <c r="E30" s="226">
        <v>100000</v>
      </c>
      <c r="F30" s="227">
        <v>26.8</v>
      </c>
      <c r="G30" s="214"/>
      <c r="H30" s="228">
        <f t="shared" ref="H30:H42" si="0">ROUND(F30*0.3,2)</f>
        <v>8.0399999999999991</v>
      </c>
      <c r="I30" s="222" t="s">
        <v>227</v>
      </c>
      <c r="J30" s="236" t="s">
        <v>246</v>
      </c>
    </row>
    <row r="31" spans="2:10" ht="48" thickBot="1" x14ac:dyDescent="0.25">
      <c r="B31" s="223" t="s">
        <v>247</v>
      </c>
      <c r="C31" s="224" t="s">
        <v>136</v>
      </c>
      <c r="D31" s="225" t="s">
        <v>248</v>
      </c>
      <c r="E31" s="237">
        <v>315000</v>
      </c>
      <c r="F31" s="227">
        <v>84.42</v>
      </c>
      <c r="G31" s="214"/>
      <c r="H31" s="228">
        <f t="shared" si="0"/>
        <v>25.33</v>
      </c>
      <c r="I31" s="222" t="s">
        <v>227</v>
      </c>
      <c r="J31" s="236" t="s">
        <v>246</v>
      </c>
    </row>
    <row r="32" spans="2:10" ht="48" thickBot="1" x14ac:dyDescent="0.25">
      <c r="B32" s="223" t="s">
        <v>249</v>
      </c>
      <c r="C32" s="224" t="s">
        <v>136</v>
      </c>
      <c r="D32" s="225" t="s">
        <v>250</v>
      </c>
      <c r="E32" s="226">
        <v>199000</v>
      </c>
      <c r="F32" s="227">
        <v>53.332000000000001</v>
      </c>
      <c r="G32" s="214"/>
      <c r="H32" s="228">
        <f t="shared" si="0"/>
        <v>16</v>
      </c>
      <c r="I32" s="222" t="s">
        <v>227</v>
      </c>
      <c r="J32" s="236" t="s">
        <v>246</v>
      </c>
    </row>
    <row r="33" spans="2:12" ht="48" thickBot="1" x14ac:dyDescent="0.25">
      <c r="B33" s="223" t="s">
        <v>251</v>
      </c>
      <c r="C33" s="224" t="s">
        <v>136</v>
      </c>
      <c r="D33" s="225" t="s">
        <v>252</v>
      </c>
      <c r="E33" s="226">
        <v>86000</v>
      </c>
      <c r="F33" s="227">
        <v>23.047999999999998</v>
      </c>
      <c r="G33" s="214"/>
      <c r="H33" s="228">
        <f t="shared" si="0"/>
        <v>6.91</v>
      </c>
      <c r="I33" s="222" t="s">
        <v>227</v>
      </c>
      <c r="J33" s="236" t="s">
        <v>246</v>
      </c>
    </row>
    <row r="34" spans="2:12" ht="48" thickBot="1" x14ac:dyDescent="0.25">
      <c r="B34" s="223" t="s">
        <v>253</v>
      </c>
      <c r="C34" s="224" t="s">
        <v>136</v>
      </c>
      <c r="D34" s="225" t="s">
        <v>254</v>
      </c>
      <c r="E34" s="226">
        <v>135000</v>
      </c>
      <c r="F34" s="227">
        <v>36.18</v>
      </c>
      <c r="G34" s="214"/>
      <c r="H34" s="228">
        <f t="shared" si="0"/>
        <v>10.85</v>
      </c>
      <c r="I34" s="222" t="s">
        <v>227</v>
      </c>
      <c r="J34" s="236" t="s">
        <v>246</v>
      </c>
    </row>
    <row r="35" spans="2:12" ht="48" thickBot="1" x14ac:dyDescent="0.25">
      <c r="B35" s="223" t="s">
        <v>255</v>
      </c>
      <c r="C35" s="224" t="s">
        <v>136</v>
      </c>
      <c r="D35" s="225" t="s">
        <v>256</v>
      </c>
      <c r="E35" s="226">
        <v>75000</v>
      </c>
      <c r="F35" s="227">
        <v>20.100000000000001</v>
      </c>
      <c r="G35" s="214"/>
      <c r="H35" s="228">
        <f t="shared" si="0"/>
        <v>6.03</v>
      </c>
      <c r="I35" s="222" t="s">
        <v>227</v>
      </c>
      <c r="J35" s="236" t="s">
        <v>246</v>
      </c>
    </row>
    <row r="36" spans="2:12" ht="48" thickBot="1" x14ac:dyDescent="0.25">
      <c r="B36" s="223" t="s">
        <v>257</v>
      </c>
      <c r="C36" s="224" t="s">
        <v>136</v>
      </c>
      <c r="D36" s="225" t="s">
        <v>258</v>
      </c>
      <c r="E36" s="226">
        <v>411000</v>
      </c>
      <c r="F36" s="227">
        <v>110.148</v>
      </c>
      <c r="G36" s="214"/>
      <c r="H36" s="228">
        <f t="shared" si="0"/>
        <v>33.04</v>
      </c>
      <c r="I36" s="222" t="s">
        <v>227</v>
      </c>
      <c r="J36" s="236" t="s">
        <v>246</v>
      </c>
    </row>
    <row r="37" spans="2:12" ht="48" thickBot="1" x14ac:dyDescent="0.25">
      <c r="B37" s="223" t="s">
        <v>259</v>
      </c>
      <c r="C37" s="224" t="s">
        <v>136</v>
      </c>
      <c r="D37" s="225" t="s">
        <v>260</v>
      </c>
      <c r="E37" s="226">
        <v>215000</v>
      </c>
      <c r="F37" s="227">
        <v>57.62</v>
      </c>
      <c r="G37" s="214"/>
      <c r="H37" s="228">
        <f t="shared" si="0"/>
        <v>17.29</v>
      </c>
      <c r="I37" s="222" t="s">
        <v>227</v>
      </c>
      <c r="J37" s="236" t="s">
        <v>246</v>
      </c>
    </row>
    <row r="38" spans="2:12" ht="48" thickBot="1" x14ac:dyDescent="0.25">
      <c r="B38" s="223" t="s">
        <v>261</v>
      </c>
      <c r="C38" s="224" t="s">
        <v>136</v>
      </c>
      <c r="D38" s="225" t="s">
        <v>262</v>
      </c>
      <c r="E38" s="226">
        <v>355000</v>
      </c>
      <c r="F38" s="227">
        <v>95.14</v>
      </c>
      <c r="G38" s="214"/>
      <c r="H38" s="228">
        <f t="shared" si="0"/>
        <v>28.54</v>
      </c>
      <c r="I38" s="222" t="s">
        <v>227</v>
      </c>
      <c r="J38" s="236" t="s">
        <v>246</v>
      </c>
    </row>
    <row r="39" spans="2:12" ht="48" thickBot="1" x14ac:dyDescent="0.25">
      <c r="B39" s="223" t="s">
        <v>263</v>
      </c>
      <c r="C39" s="224" t="s">
        <v>136</v>
      </c>
      <c r="D39" s="225" t="s">
        <v>264</v>
      </c>
      <c r="E39" s="226">
        <v>75000</v>
      </c>
      <c r="F39" s="227">
        <v>20.100000000000001</v>
      </c>
      <c r="G39" s="214"/>
      <c r="H39" s="228">
        <f t="shared" si="0"/>
        <v>6.03</v>
      </c>
      <c r="I39" s="222" t="s">
        <v>227</v>
      </c>
      <c r="J39" s="236" t="s">
        <v>246</v>
      </c>
    </row>
    <row r="40" spans="2:12" ht="48" thickBot="1" x14ac:dyDescent="0.25">
      <c r="B40" s="223" t="s">
        <v>265</v>
      </c>
      <c r="C40" s="224" t="s">
        <v>136</v>
      </c>
      <c r="D40" s="225" t="s">
        <v>266</v>
      </c>
      <c r="E40" s="226">
        <v>236000</v>
      </c>
      <c r="F40" s="227">
        <v>63.247999999999998</v>
      </c>
      <c r="G40" s="214"/>
      <c r="H40" s="228">
        <f t="shared" si="0"/>
        <v>18.97</v>
      </c>
      <c r="I40" s="222" t="s">
        <v>227</v>
      </c>
      <c r="J40" s="236" t="s">
        <v>246</v>
      </c>
    </row>
    <row r="41" spans="2:12" ht="48" thickBot="1" x14ac:dyDescent="0.25">
      <c r="B41" s="223" t="s">
        <v>267</v>
      </c>
      <c r="C41" s="224" t="s">
        <v>136</v>
      </c>
      <c r="D41" s="225" t="s">
        <v>268</v>
      </c>
      <c r="E41" s="226">
        <v>215000</v>
      </c>
      <c r="F41" s="227">
        <v>57.62</v>
      </c>
      <c r="G41" s="214"/>
      <c r="H41" s="228">
        <f t="shared" si="0"/>
        <v>17.29</v>
      </c>
      <c r="I41" s="222" t="s">
        <v>227</v>
      </c>
      <c r="J41" s="236" t="s">
        <v>246</v>
      </c>
    </row>
    <row r="42" spans="2:12" ht="48" thickBot="1" x14ac:dyDescent="0.25">
      <c r="B42" s="223" t="s">
        <v>269</v>
      </c>
      <c r="C42" s="224" t="s">
        <v>136</v>
      </c>
      <c r="D42" s="225" t="s">
        <v>270</v>
      </c>
      <c r="E42" s="226">
        <v>83000</v>
      </c>
      <c r="F42" s="227">
        <v>22.244</v>
      </c>
      <c r="G42" s="214"/>
      <c r="H42" s="228">
        <f t="shared" si="0"/>
        <v>6.67</v>
      </c>
      <c r="I42" s="222" t="s">
        <v>227</v>
      </c>
      <c r="J42" s="236" t="s">
        <v>246</v>
      </c>
    </row>
    <row r="43" spans="2:12" ht="16.5" thickBot="1" x14ac:dyDescent="0.25">
      <c r="B43" s="216">
        <v>8</v>
      </c>
      <c r="C43" s="217" t="s">
        <v>105</v>
      </c>
      <c r="D43" s="218" t="s">
        <v>138</v>
      </c>
      <c r="E43" s="219">
        <v>100000</v>
      </c>
      <c r="F43" s="213" t="s">
        <v>105</v>
      </c>
      <c r="G43" s="214"/>
      <c r="H43" s="213" t="s">
        <v>105</v>
      </c>
      <c r="I43" s="222" t="s">
        <v>131</v>
      </c>
      <c r="J43" s="230"/>
    </row>
    <row r="44" spans="2:12" ht="32.25" thickBot="1" x14ac:dyDescent="0.3">
      <c r="B44" s="238" t="s">
        <v>295</v>
      </c>
      <c r="C44" s="239" t="s">
        <v>296</v>
      </c>
      <c r="D44" s="240" t="s">
        <v>297</v>
      </c>
      <c r="E44" s="241">
        <v>75000000</v>
      </c>
      <c r="F44" s="241">
        <v>36000</v>
      </c>
      <c r="G44" s="242"/>
      <c r="H44" s="243">
        <f>F44*'Wskaźniki emisji'!G20</f>
        <v>29232.000000000004</v>
      </c>
      <c r="I44" s="244" t="s">
        <v>298</v>
      </c>
      <c r="J44" s="234" t="s">
        <v>299</v>
      </c>
      <c r="K44" s="79"/>
      <c r="L44" s="79"/>
    </row>
    <row r="45" spans="2:12" ht="15.75" x14ac:dyDescent="0.2">
      <c r="B45" s="245"/>
      <c r="C45" s="245"/>
      <c r="D45" s="245"/>
      <c r="E45" s="245"/>
      <c r="F45" s="245"/>
      <c r="G45" s="246"/>
      <c r="H45" s="247"/>
      <c r="I45" s="245"/>
      <c r="J45" s="245"/>
    </row>
    <row r="46" spans="2:12" ht="13.15" customHeight="1" x14ac:dyDescent="0.2">
      <c r="B46" s="248" t="s">
        <v>271</v>
      </c>
      <c r="C46" s="248"/>
      <c r="D46" s="248"/>
      <c r="E46" s="249">
        <f>E7+E13+E18+E22+E27+E28+E29+E43</f>
        <v>17740000</v>
      </c>
      <c r="F46" s="249">
        <f>F7+F13+F18+F22+F27+F28+F29</f>
        <v>8108</v>
      </c>
      <c r="G46" s="250">
        <f>SUM(G7:G42)</f>
        <v>5916</v>
      </c>
      <c r="H46" s="249">
        <f>H7+H13+H18+H22+H27+H28+H29</f>
        <v>2788.9900000000002</v>
      </c>
      <c r="I46" s="248"/>
      <c r="J46" s="248"/>
    </row>
    <row r="47" spans="2:12" ht="13.15" customHeight="1" x14ac:dyDescent="0.25">
      <c r="B47" s="166" t="s">
        <v>311</v>
      </c>
      <c r="C47" s="248"/>
      <c r="D47" s="248"/>
      <c r="E47" s="248"/>
      <c r="F47" s="248"/>
      <c r="G47" s="251"/>
      <c r="H47" s="248"/>
      <c r="I47" s="248"/>
      <c r="J47" s="248"/>
    </row>
    <row r="48" spans="2:12" ht="13.15" customHeight="1" x14ac:dyDescent="0.2">
      <c r="B48" s="80"/>
      <c r="C48" s="80"/>
      <c r="D48" s="80"/>
      <c r="E48" s="80"/>
      <c r="F48" s="80"/>
      <c r="G48" s="98"/>
      <c r="H48" s="80"/>
      <c r="I48" s="80"/>
      <c r="J48" s="80"/>
    </row>
    <row r="49" spans="2:10" ht="13.15" customHeight="1" x14ac:dyDescent="0.2">
      <c r="B49" s="80"/>
      <c r="C49" s="80"/>
      <c r="D49" s="80"/>
      <c r="E49" s="80"/>
      <c r="F49" s="80"/>
      <c r="G49" s="98"/>
      <c r="H49" s="101"/>
      <c r="I49" s="80"/>
      <c r="J49" s="80"/>
    </row>
    <row r="50" spans="2:10" ht="13.15" customHeight="1" x14ac:dyDescent="0.2">
      <c r="B50" s="80"/>
      <c r="C50" s="105"/>
      <c r="D50" s="80"/>
      <c r="E50" s="80"/>
      <c r="F50" s="80"/>
      <c r="G50" s="98"/>
      <c r="H50" s="101"/>
      <c r="I50" s="80"/>
      <c r="J50" s="80"/>
    </row>
    <row r="51" spans="2:10" ht="13.15" customHeight="1" x14ac:dyDescent="0.2">
      <c r="B51" s="80"/>
      <c r="C51" s="105"/>
      <c r="D51" s="80"/>
      <c r="E51" s="80"/>
      <c r="F51" s="80"/>
      <c r="G51" s="98"/>
      <c r="H51" s="80"/>
      <c r="I51" s="80"/>
      <c r="J51" s="80"/>
    </row>
  </sheetData>
  <mergeCells count="6">
    <mergeCell ref="J5:J6"/>
    <mergeCell ref="B2:H2"/>
    <mergeCell ref="B5:B6"/>
    <mergeCell ref="C5:C6"/>
    <mergeCell ref="D5:D6"/>
    <mergeCell ref="I5:I6"/>
  </mergeCells>
  <pageMargins left="0.31496062992125984" right="0.11811023622047245" top="0.35433070866141736" bottom="0.35433070866141736" header="0.11811023622047245" footer="0.31496062992125984"/>
  <pageSetup paperSize="8" scale="59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34"/>
  <sheetViews>
    <sheetView showGridLines="0" zoomScale="85" zoomScaleNormal="85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3" max="3" width="5.42578125" customWidth="1"/>
    <col min="4" max="4" width="26.42578125" customWidth="1"/>
    <col min="5" max="6" width="37" customWidth="1"/>
    <col min="7" max="7" width="13.5703125" customWidth="1"/>
    <col min="8" max="8" width="13.7109375" customWidth="1"/>
  </cols>
  <sheetData>
    <row r="3" spans="2:8" ht="22.15" customHeight="1" x14ac:dyDescent="0.2">
      <c r="B3" s="114" t="s">
        <v>185</v>
      </c>
      <c r="C3" s="114"/>
      <c r="D3" s="114"/>
      <c r="E3" s="114"/>
      <c r="F3" s="114"/>
      <c r="G3" s="114"/>
      <c r="H3" s="114"/>
    </row>
    <row r="4" spans="2:8" ht="18" x14ac:dyDescent="0.25">
      <c r="C4" s="5"/>
    </row>
    <row r="5" spans="2:8" ht="18" x14ac:dyDescent="0.25">
      <c r="C5" s="5"/>
    </row>
    <row r="6" spans="2:8" ht="13.5" x14ac:dyDescent="0.25">
      <c r="B6" s="1" t="s">
        <v>165</v>
      </c>
      <c r="C6" s="44" t="s">
        <v>186</v>
      </c>
    </row>
    <row r="7" spans="2:8" ht="18.75" thickBot="1" x14ac:dyDescent="0.3">
      <c r="C7" s="5"/>
    </row>
    <row r="8" spans="2:8" s="62" customFormat="1" ht="35.450000000000003" customHeight="1" x14ac:dyDescent="0.2">
      <c r="C8" s="132" t="s">
        <v>31</v>
      </c>
      <c r="D8" s="132" t="s">
        <v>123</v>
      </c>
      <c r="E8" s="132" t="s">
        <v>141</v>
      </c>
      <c r="F8" s="132" t="s">
        <v>139</v>
      </c>
      <c r="G8" s="132" t="s">
        <v>140</v>
      </c>
      <c r="H8" s="132" t="s">
        <v>183</v>
      </c>
    </row>
    <row r="9" spans="2:8" ht="52.9" customHeight="1" thickBot="1" x14ac:dyDescent="0.25">
      <c r="C9" s="133"/>
      <c r="D9" s="133"/>
      <c r="E9" s="133"/>
      <c r="F9" s="133"/>
      <c r="G9" s="133"/>
      <c r="H9" s="133"/>
    </row>
    <row r="10" spans="2:8" s="56" customFormat="1" ht="26.45" customHeight="1" thickBot="1" x14ac:dyDescent="0.25">
      <c r="C10" s="131">
        <v>1</v>
      </c>
      <c r="D10" s="130" t="s">
        <v>130</v>
      </c>
      <c r="E10" s="129" t="s">
        <v>280</v>
      </c>
      <c r="F10" s="81" t="s">
        <v>142</v>
      </c>
      <c r="G10" s="81"/>
      <c r="H10" s="81"/>
    </row>
    <row r="11" spans="2:8" s="56" customFormat="1" ht="27" customHeight="1" thickBot="1" x14ac:dyDescent="0.25">
      <c r="C11" s="131"/>
      <c r="D11" s="130"/>
      <c r="E11" s="129"/>
      <c r="F11" s="81" t="s">
        <v>143</v>
      </c>
      <c r="G11" s="81"/>
      <c r="H11" s="81"/>
    </row>
    <row r="12" spans="2:8" s="56" customFormat="1" ht="26.25" thickBot="1" x14ac:dyDescent="0.25">
      <c r="C12" s="124"/>
      <c r="D12" s="126"/>
      <c r="E12" s="128"/>
      <c r="F12" s="81" t="s">
        <v>144</v>
      </c>
      <c r="G12" s="81"/>
      <c r="H12" s="81"/>
    </row>
    <row r="13" spans="2:8" s="56" customFormat="1" ht="39.6" customHeight="1" thickBot="1" x14ac:dyDescent="0.25">
      <c r="C13" s="123">
        <v>2</v>
      </c>
      <c r="D13" s="125" t="s">
        <v>130</v>
      </c>
      <c r="E13" s="127" t="s">
        <v>281</v>
      </c>
      <c r="F13" s="81" t="s">
        <v>145</v>
      </c>
      <c r="G13" s="81"/>
      <c r="H13" s="81"/>
    </row>
    <row r="14" spans="2:8" s="56" customFormat="1" ht="105" customHeight="1" thickBot="1" x14ac:dyDescent="0.25">
      <c r="C14" s="131"/>
      <c r="D14" s="130"/>
      <c r="E14" s="129"/>
      <c r="F14" s="81" t="s">
        <v>146</v>
      </c>
      <c r="G14" s="81"/>
      <c r="H14" s="81"/>
    </row>
    <row r="15" spans="2:8" s="56" customFormat="1" ht="26.25" thickBot="1" x14ac:dyDescent="0.25">
      <c r="C15" s="124"/>
      <c r="D15" s="126"/>
      <c r="E15" s="128"/>
      <c r="F15" s="81" t="s">
        <v>143</v>
      </c>
      <c r="G15" s="81"/>
      <c r="H15" s="81"/>
    </row>
    <row r="16" spans="2:8" s="56" customFormat="1" ht="26.45" customHeight="1" thickBot="1" x14ac:dyDescent="0.25">
      <c r="C16" s="123">
        <v>3</v>
      </c>
      <c r="D16" s="125" t="s">
        <v>130</v>
      </c>
      <c r="E16" s="127" t="s">
        <v>282</v>
      </c>
      <c r="F16" s="81" t="s">
        <v>145</v>
      </c>
      <c r="G16" s="81"/>
      <c r="H16" s="81"/>
    </row>
    <row r="17" spans="3:8" s="56" customFormat="1" ht="66.599999999999994" customHeight="1" thickBot="1" x14ac:dyDescent="0.25">
      <c r="C17" s="131"/>
      <c r="D17" s="130"/>
      <c r="E17" s="129"/>
      <c r="F17" s="81" t="s">
        <v>147</v>
      </c>
      <c r="G17" s="81"/>
      <c r="H17" s="81"/>
    </row>
    <row r="18" spans="3:8" s="56" customFormat="1" ht="26.25" thickBot="1" x14ac:dyDescent="0.25">
      <c r="C18" s="131"/>
      <c r="D18" s="130"/>
      <c r="E18" s="129"/>
      <c r="F18" s="81" t="s">
        <v>148</v>
      </c>
      <c r="G18" s="81"/>
      <c r="H18" s="81"/>
    </row>
    <row r="19" spans="3:8" s="56" customFormat="1" ht="13.5" thickBot="1" x14ac:dyDescent="0.25">
      <c r="C19" s="124"/>
      <c r="D19" s="126"/>
      <c r="E19" s="128"/>
      <c r="F19" s="81" t="s">
        <v>149</v>
      </c>
      <c r="G19" s="81"/>
      <c r="H19" s="81"/>
    </row>
    <row r="20" spans="3:8" s="56" customFormat="1" ht="26.45" customHeight="1" thickBot="1" x14ac:dyDescent="0.25">
      <c r="C20" s="123">
        <v>4</v>
      </c>
      <c r="D20" s="125" t="s">
        <v>132</v>
      </c>
      <c r="E20" s="125" t="s">
        <v>133</v>
      </c>
      <c r="F20" s="82" t="s">
        <v>150</v>
      </c>
      <c r="G20" s="82"/>
      <c r="H20" s="82"/>
    </row>
    <row r="21" spans="3:8" s="56" customFormat="1" ht="13.5" thickBot="1" x14ac:dyDescent="0.25">
      <c r="C21" s="131"/>
      <c r="D21" s="130"/>
      <c r="E21" s="130"/>
      <c r="F21" s="82" t="s">
        <v>151</v>
      </c>
      <c r="G21" s="82"/>
      <c r="H21" s="82"/>
    </row>
    <row r="22" spans="3:8" s="56" customFormat="1" ht="13.5" thickBot="1" x14ac:dyDescent="0.25">
      <c r="C22" s="124"/>
      <c r="D22" s="126"/>
      <c r="E22" s="126"/>
      <c r="F22" s="82" t="s">
        <v>152</v>
      </c>
      <c r="G22" s="82"/>
      <c r="H22" s="82"/>
    </row>
    <row r="23" spans="3:8" s="56" customFormat="1" ht="13.5" thickBot="1" x14ac:dyDescent="0.25">
      <c r="C23" s="123">
        <v>5</v>
      </c>
      <c r="D23" s="125" t="s">
        <v>134</v>
      </c>
      <c r="E23" s="125" t="s">
        <v>135</v>
      </c>
      <c r="F23" s="82" t="s">
        <v>145</v>
      </c>
      <c r="G23" s="82"/>
      <c r="H23" s="82"/>
    </row>
    <row r="24" spans="3:8" s="56" customFormat="1" ht="26.25" thickBot="1" x14ac:dyDescent="0.25">
      <c r="C24" s="131"/>
      <c r="D24" s="130"/>
      <c r="E24" s="130"/>
      <c r="F24" s="81" t="s">
        <v>147</v>
      </c>
      <c r="G24" s="82"/>
      <c r="H24" s="82"/>
    </row>
    <row r="25" spans="3:8" s="56" customFormat="1" ht="13.5" thickBot="1" x14ac:dyDescent="0.25">
      <c r="C25" s="124"/>
      <c r="D25" s="126"/>
      <c r="E25" s="126"/>
      <c r="F25" s="81" t="s">
        <v>149</v>
      </c>
      <c r="G25" s="82"/>
      <c r="H25" s="82"/>
    </row>
    <row r="26" spans="3:8" s="56" customFormat="1" ht="13.5" thickBot="1" x14ac:dyDescent="0.25">
      <c r="C26" s="123">
        <v>6</v>
      </c>
      <c r="D26" s="125" t="s">
        <v>134</v>
      </c>
      <c r="E26" s="127" t="s">
        <v>177</v>
      </c>
      <c r="F26" s="81" t="s">
        <v>145</v>
      </c>
      <c r="G26" s="81"/>
      <c r="H26" s="81"/>
    </row>
    <row r="27" spans="3:8" s="56" customFormat="1" ht="66.599999999999994" customHeight="1" thickBot="1" x14ac:dyDescent="0.25">
      <c r="C27" s="131"/>
      <c r="D27" s="130"/>
      <c r="E27" s="129"/>
      <c r="F27" s="81" t="s">
        <v>146</v>
      </c>
      <c r="G27" s="81"/>
      <c r="H27" s="81"/>
    </row>
    <row r="28" spans="3:8" s="56" customFormat="1" ht="26.25" thickBot="1" x14ac:dyDescent="0.25">
      <c r="C28" s="124"/>
      <c r="D28" s="126"/>
      <c r="E28" s="128"/>
      <c r="F28" s="81" t="s">
        <v>143</v>
      </c>
      <c r="G28" s="81"/>
      <c r="H28" s="81"/>
    </row>
    <row r="29" spans="3:8" ht="39.6" customHeight="1" thickBot="1" x14ac:dyDescent="0.25">
      <c r="C29" s="123">
        <v>7</v>
      </c>
      <c r="D29" s="125" t="s">
        <v>136</v>
      </c>
      <c r="E29" s="125" t="s">
        <v>137</v>
      </c>
      <c r="F29" s="81" t="s">
        <v>145</v>
      </c>
      <c r="G29" s="82"/>
      <c r="H29" s="82"/>
    </row>
    <row r="30" spans="3:8" ht="26.25" thickBot="1" x14ac:dyDescent="0.25">
      <c r="C30" s="124"/>
      <c r="D30" s="126"/>
      <c r="E30" s="126"/>
      <c r="F30" s="81" t="s">
        <v>153</v>
      </c>
      <c r="G30" s="82"/>
      <c r="H30" s="82"/>
    </row>
    <row r="31" spans="3:8" ht="13.5" thickBot="1" x14ac:dyDescent="0.25">
      <c r="C31" s="123">
        <v>8</v>
      </c>
      <c r="D31" s="127" t="s">
        <v>283</v>
      </c>
      <c r="E31" s="127" t="s">
        <v>154</v>
      </c>
      <c r="F31" s="81" t="s">
        <v>142</v>
      </c>
      <c r="G31" s="81"/>
      <c r="H31" s="81"/>
    </row>
    <row r="32" spans="3:8" ht="39" customHeight="1" thickBot="1" x14ac:dyDescent="0.25">
      <c r="C32" s="124"/>
      <c r="D32" s="128"/>
      <c r="E32" s="128"/>
      <c r="F32" s="81" t="s">
        <v>155</v>
      </c>
      <c r="G32" s="81"/>
      <c r="H32" s="81"/>
    </row>
    <row r="34" ht="26.45" customHeight="1" x14ac:dyDescent="0.2"/>
  </sheetData>
  <mergeCells count="31">
    <mergeCell ref="F8:F9"/>
    <mergeCell ref="G8:G9"/>
    <mergeCell ref="D20:D22"/>
    <mergeCell ref="E20:E22"/>
    <mergeCell ref="B3:H3"/>
    <mergeCell ref="H8:H9"/>
    <mergeCell ref="C10:C12"/>
    <mergeCell ref="E10:E12"/>
    <mergeCell ref="D10:D12"/>
    <mergeCell ref="E13:E15"/>
    <mergeCell ref="D13:D15"/>
    <mergeCell ref="C13:C15"/>
    <mergeCell ref="C8:C9"/>
    <mergeCell ref="D8:D9"/>
    <mergeCell ref="C20:C22"/>
    <mergeCell ref="E8:E9"/>
    <mergeCell ref="E26:E28"/>
    <mergeCell ref="D26:D28"/>
    <mergeCell ref="C26:C28"/>
    <mergeCell ref="E16:E19"/>
    <mergeCell ref="D16:D19"/>
    <mergeCell ref="C16:C19"/>
    <mergeCell ref="E23:E25"/>
    <mergeCell ref="D23:D25"/>
    <mergeCell ref="C23:C25"/>
    <mergeCell ref="C29:C30"/>
    <mergeCell ref="D29:D30"/>
    <mergeCell ref="E29:E30"/>
    <mergeCell ref="C31:C32"/>
    <mergeCell ref="D31:D32"/>
    <mergeCell ref="E31:E32"/>
  </mergeCells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31"/>
  <sheetViews>
    <sheetView showGridLines="0" workbookViewId="0">
      <pane ySplit="2" topLeftCell="A3" activePane="bottomLeft" state="frozen"/>
      <selection pane="bottomLeft" activeCell="F9" sqref="F9"/>
    </sheetView>
  </sheetViews>
  <sheetFormatPr defaultRowHeight="12.75" x14ac:dyDescent="0.2"/>
  <cols>
    <col min="3" max="3" width="19" bestFit="1" customWidth="1"/>
  </cols>
  <sheetData>
    <row r="2" spans="3:12" ht="15.75" x14ac:dyDescent="0.2">
      <c r="C2" s="114" t="s">
        <v>166</v>
      </c>
      <c r="D2" s="114"/>
      <c r="E2" s="114"/>
      <c r="F2" s="114"/>
      <c r="G2" s="114"/>
      <c r="H2" s="114"/>
      <c r="I2" s="114"/>
      <c r="J2" s="114"/>
      <c r="K2" s="114"/>
      <c r="L2" s="114"/>
    </row>
    <row r="5" spans="3:12" x14ac:dyDescent="0.2">
      <c r="C5" s="61" t="s">
        <v>89</v>
      </c>
      <c r="D5" s="61">
        <v>2009</v>
      </c>
      <c r="E5" s="61">
        <v>2010</v>
      </c>
      <c r="F5" s="61">
        <v>2011</v>
      </c>
      <c r="G5" s="61">
        <v>2012</v>
      </c>
      <c r="H5" s="61">
        <v>2013</v>
      </c>
      <c r="I5" s="61">
        <v>2014</v>
      </c>
    </row>
    <row r="6" spans="3:12" x14ac:dyDescent="0.2">
      <c r="C6" s="61" t="s">
        <v>90</v>
      </c>
      <c r="D6" s="8">
        <v>4239</v>
      </c>
      <c r="E6" s="8">
        <v>4330</v>
      </c>
      <c r="F6" s="8">
        <v>4315</v>
      </c>
      <c r="G6" s="8">
        <v>4252</v>
      </c>
      <c r="H6" s="8">
        <v>4222</v>
      </c>
      <c r="I6" s="8">
        <v>4203</v>
      </c>
    </row>
    <row r="9" spans="3:12" x14ac:dyDescent="0.2">
      <c r="C9" s="2" t="s">
        <v>91</v>
      </c>
      <c r="D9" s="6">
        <f>AVERAGE(D6:I6)</f>
        <v>4260.166666666667</v>
      </c>
    </row>
    <row r="30" spans="3:3" ht="16.5" x14ac:dyDescent="0.3">
      <c r="C30" s="3" t="s">
        <v>92</v>
      </c>
    </row>
    <row r="31" spans="3:3" x14ac:dyDescent="0.2">
      <c r="C31" s="2" t="s">
        <v>167</v>
      </c>
    </row>
  </sheetData>
  <mergeCells count="2">
    <mergeCell ref="C2:I2"/>
    <mergeCell ref="J2:L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Struktura</vt:lpstr>
      <vt:lpstr>Wskaźniki emisji</vt:lpstr>
      <vt:lpstr>Samorząd emisja</vt:lpstr>
      <vt:lpstr>Społeczeństwo emisja</vt:lpstr>
      <vt:lpstr>Gmina emisja</vt:lpstr>
      <vt:lpstr>Plan działań</vt:lpstr>
      <vt:lpstr>Harmonogram uzg. z UG </vt:lpstr>
      <vt:lpstr>Weryfikacja harmonogramu</vt:lpstr>
      <vt:lpstr>Ludność</vt:lpstr>
      <vt:lpstr>Spis tabel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BEI Bejsce</dc:title>
  <dc:creator>mateusz</dc:creator>
  <cp:lastModifiedBy>Zbigniew</cp:lastModifiedBy>
  <cp:lastPrinted>2016-06-03T09:28:08Z</cp:lastPrinted>
  <dcterms:created xsi:type="dcterms:W3CDTF">2015-10-29T17:37:22Z</dcterms:created>
  <dcterms:modified xsi:type="dcterms:W3CDTF">2016-06-03T10:41:35Z</dcterms:modified>
</cp:coreProperties>
</file>